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2685" windowWidth="19170" windowHeight="9825" tabRatio="574" activeTab="1"/>
  </bookViews>
  <sheets>
    <sheet name="ДЭС" sheetId="62" r:id="rId1"/>
    <sheet name="ХЭС" sheetId="63" r:id="rId2"/>
    <sheet name="АЭС" sheetId="64" r:id="rId3"/>
    <sheet name="ЕАО" sheetId="65" r:id="rId4"/>
  </sheets>
  <definedNames>
    <definedName name="_xlnm.Print_Area" localSheetId="2">АЭС!$A$1:$O$68</definedName>
    <definedName name="_xlnm.Print_Area" localSheetId="0">ДЭС!$A$1:$O$68</definedName>
    <definedName name="_xlnm.Print_Area" localSheetId="3">ЕАО!$A$1:$O$68</definedName>
    <definedName name="_xlnm.Print_Area" localSheetId="1">ХЭС!$A$1:$O$68</definedName>
  </definedNames>
  <calcPr calcId="162913"/>
</workbook>
</file>

<file path=xl/calcChain.xml><?xml version="1.0" encoding="utf-8"?>
<calcChain xmlns="http://schemas.openxmlformats.org/spreadsheetml/2006/main">
  <c r="M12" i="63" l="1"/>
  <c r="L12" i="63"/>
  <c r="J12" i="63"/>
  <c r="H12" i="63"/>
  <c r="M21" i="63" l="1"/>
  <c r="L21" i="63"/>
  <c r="J21" i="63"/>
  <c r="H21" i="63"/>
  <c r="M17" i="63"/>
  <c r="L17" i="63"/>
  <c r="J17" i="63"/>
  <c r="H17" i="63"/>
  <c r="F21" i="63"/>
  <c r="F17" i="63"/>
  <c r="N64" i="65" l="1"/>
  <c r="N63" i="65"/>
  <c r="N62" i="65"/>
  <c r="N61" i="65"/>
  <c r="O60" i="65"/>
  <c r="N60" i="65"/>
  <c r="O59" i="65"/>
  <c r="N59" i="65"/>
  <c r="N58" i="65"/>
  <c r="N57" i="65"/>
  <c r="F56" i="65"/>
  <c r="H56" i="65" s="1"/>
  <c r="J56" i="65" s="1"/>
  <c r="L56" i="65" s="1"/>
  <c r="M56" i="65" s="1"/>
  <c r="O55" i="65"/>
  <c r="N55" i="65"/>
  <c r="D54" i="65"/>
  <c r="D57" i="65" s="1"/>
  <c r="N53" i="65"/>
  <c r="M53" i="65"/>
  <c r="L53" i="65"/>
  <c r="J53" i="65"/>
  <c r="H53" i="65"/>
  <c r="F53" i="65"/>
  <c r="D53" i="65"/>
  <c r="N52" i="65"/>
  <c r="N51" i="65"/>
  <c r="D50" i="65"/>
  <c r="F50" i="65" s="1"/>
  <c r="H50" i="65" s="1"/>
  <c r="N49" i="65"/>
  <c r="M49" i="65"/>
  <c r="L49" i="65"/>
  <c r="J49" i="65"/>
  <c r="H49" i="65"/>
  <c r="F49" i="65"/>
  <c r="D49" i="65"/>
  <c r="D51" i="65" s="1"/>
  <c r="N48" i="65"/>
  <c r="N47" i="65"/>
  <c r="D46" i="65"/>
  <c r="N45" i="65"/>
  <c r="H45" i="65"/>
  <c r="N44" i="65"/>
  <c r="N43" i="65"/>
  <c r="D42" i="65"/>
  <c r="F42" i="65" s="1"/>
  <c r="N41" i="65"/>
  <c r="M41" i="65"/>
  <c r="L41" i="65"/>
  <c r="J41" i="65"/>
  <c r="H41" i="65"/>
  <c r="D41" i="65"/>
  <c r="N40" i="65"/>
  <c r="N39" i="65"/>
  <c r="O38" i="65"/>
  <c r="N38" i="65"/>
  <c r="O37" i="65"/>
  <c r="N37" i="65"/>
  <c r="O36" i="65"/>
  <c r="N36" i="65"/>
  <c r="O35" i="65"/>
  <c r="N35" i="65"/>
  <c r="N34" i="65"/>
  <c r="N33" i="65"/>
  <c r="D33" i="65"/>
  <c r="D34" i="65" s="1"/>
  <c r="F32" i="65"/>
  <c r="F33" i="65" s="1"/>
  <c r="F34" i="65" s="1"/>
  <c r="O31" i="65"/>
  <c r="N31" i="65"/>
  <c r="N30" i="65"/>
  <c r="N29" i="65"/>
  <c r="D28" i="65"/>
  <c r="D29" i="65" s="1"/>
  <c r="D30" i="65" s="1"/>
  <c r="Q27" i="65"/>
  <c r="O27" i="65"/>
  <c r="N27" i="65"/>
  <c r="N26" i="65"/>
  <c r="N25" i="65"/>
  <c r="N24" i="65"/>
  <c r="D24" i="65"/>
  <c r="N23" i="65"/>
  <c r="D23" i="65"/>
  <c r="H22" i="65"/>
  <c r="J22" i="65" s="1"/>
  <c r="J23" i="65" s="1"/>
  <c r="J24" i="65" s="1"/>
  <c r="F22" i="65"/>
  <c r="F23" i="65" s="1"/>
  <c r="F24" i="65" s="1"/>
  <c r="Q21" i="65"/>
  <c r="O21" i="65"/>
  <c r="N21" i="65"/>
  <c r="N20" i="65"/>
  <c r="N19" i="65"/>
  <c r="D19" i="65"/>
  <c r="D25" i="65" s="1"/>
  <c r="F18" i="65"/>
  <c r="F19" i="65" s="1"/>
  <c r="Q17" i="65"/>
  <c r="O17" i="65"/>
  <c r="N17" i="65"/>
  <c r="N16" i="65"/>
  <c r="M16" i="65"/>
  <c r="M45" i="65" s="1"/>
  <c r="L16" i="65"/>
  <c r="L45" i="65" s="1"/>
  <c r="J16" i="65"/>
  <c r="J45" i="65" s="1"/>
  <c r="H16" i="65"/>
  <c r="F16" i="65"/>
  <c r="F45" i="65" s="1"/>
  <c r="D16" i="65"/>
  <c r="D45" i="65" s="1"/>
  <c r="N15" i="65"/>
  <c r="N14" i="65"/>
  <c r="D14" i="65"/>
  <c r="D15" i="65" s="1"/>
  <c r="F13" i="65"/>
  <c r="N12" i="65"/>
  <c r="F12" i="65"/>
  <c r="O49" i="65" l="1"/>
  <c r="F14" i="65"/>
  <c r="O16" i="65"/>
  <c r="H51" i="65"/>
  <c r="H52" i="65" s="1"/>
  <c r="J50" i="65"/>
  <c r="D58" i="65"/>
  <c r="F25" i="65"/>
  <c r="F20" i="65"/>
  <c r="F26" i="65" s="1"/>
  <c r="H23" i="65"/>
  <c r="D43" i="65"/>
  <c r="O45" i="65"/>
  <c r="F15" i="65"/>
  <c r="H18" i="65"/>
  <c r="L22" i="65"/>
  <c r="H42" i="65"/>
  <c r="D61" i="65"/>
  <c r="F41" i="65"/>
  <c r="O41" i="65" s="1"/>
  <c r="O12" i="65"/>
  <c r="Q12" i="65" s="1"/>
  <c r="H13" i="65"/>
  <c r="D20" i="65"/>
  <c r="H32" i="65"/>
  <c r="D47" i="65"/>
  <c r="F51" i="65"/>
  <c r="F52" i="65" s="1"/>
  <c r="D52" i="65"/>
  <c r="F28" i="65"/>
  <c r="F46" i="65"/>
  <c r="O53" i="65"/>
  <c r="F54" i="65"/>
  <c r="D26" i="65" l="1"/>
  <c r="L23" i="65"/>
  <c r="L24" i="65" s="1"/>
  <c r="M22" i="65"/>
  <c r="M23" i="65" s="1"/>
  <c r="M24" i="65" s="1"/>
  <c r="F47" i="65"/>
  <c r="F48" i="65" s="1"/>
  <c r="H46" i="65"/>
  <c r="D48" i="65"/>
  <c r="F43" i="65"/>
  <c r="J51" i="65"/>
  <c r="J52" i="65" s="1"/>
  <c r="L50" i="65"/>
  <c r="H28" i="65"/>
  <c r="F29" i="65"/>
  <c r="J13" i="65"/>
  <c r="H14" i="65"/>
  <c r="J18" i="65"/>
  <c r="H19" i="65"/>
  <c r="D62" i="65"/>
  <c r="D44" i="65"/>
  <c r="D39" i="65"/>
  <c r="F57" i="65"/>
  <c r="H54" i="65"/>
  <c r="J32" i="65"/>
  <c r="H33" i="65"/>
  <c r="H43" i="65"/>
  <c r="J42" i="65"/>
  <c r="H24" i="65"/>
  <c r="H62" i="65" l="1"/>
  <c r="H44" i="65"/>
  <c r="H57" i="65"/>
  <c r="H58" i="65" s="1"/>
  <c r="J54" i="65"/>
  <c r="J19" i="65"/>
  <c r="L18" i="65"/>
  <c r="F30" i="65"/>
  <c r="F39" i="65"/>
  <c r="F40" i="65" s="1"/>
  <c r="F62" i="65"/>
  <c r="F44" i="65"/>
  <c r="O23" i="65"/>
  <c r="H34" i="65"/>
  <c r="F58" i="65"/>
  <c r="H29" i="65"/>
  <c r="H30" i="65" s="1"/>
  <c r="J28" i="65"/>
  <c r="J46" i="65"/>
  <c r="H47" i="65"/>
  <c r="H48" i="65" s="1"/>
  <c r="O24" i="65"/>
  <c r="J33" i="65"/>
  <c r="J34" i="65" s="1"/>
  <c r="L32" i="65"/>
  <c r="H15" i="65"/>
  <c r="M50" i="65"/>
  <c r="M51" i="65" s="1"/>
  <c r="M52" i="65" s="1"/>
  <c r="L51" i="65"/>
  <c r="D63" i="65"/>
  <c r="J43" i="65"/>
  <c r="L42" i="65"/>
  <c r="D40" i="65"/>
  <c r="H20" i="65"/>
  <c r="H25" i="65"/>
  <c r="J14" i="65"/>
  <c r="L13" i="65"/>
  <c r="F61" i="65"/>
  <c r="M42" i="65" l="1"/>
  <c r="M43" i="65" s="1"/>
  <c r="L43" i="65"/>
  <c r="J57" i="65"/>
  <c r="J58" i="65" s="1"/>
  <c r="L54" i="65"/>
  <c r="L14" i="65"/>
  <c r="M13" i="65"/>
  <c r="M14" i="65" s="1"/>
  <c r="H26" i="65"/>
  <c r="J44" i="65"/>
  <c r="L33" i="65"/>
  <c r="M32" i="65"/>
  <c r="M33" i="65" s="1"/>
  <c r="M34" i="65" s="1"/>
  <c r="L19" i="65"/>
  <c r="M18" i="65"/>
  <c r="M19" i="65" s="1"/>
  <c r="J15" i="65"/>
  <c r="D2" i="65"/>
  <c r="D64" i="65"/>
  <c r="J47" i="65"/>
  <c r="L46" i="65"/>
  <c r="J25" i="65"/>
  <c r="J20" i="65"/>
  <c r="J26" i="65" s="1"/>
  <c r="F63" i="65"/>
  <c r="F64" i="65" s="1"/>
  <c r="L52" i="65"/>
  <c r="O52" i="65" s="1"/>
  <c r="O51" i="65"/>
  <c r="H61" i="65"/>
  <c r="H63" i="65" s="1"/>
  <c r="H64" i="65" s="1"/>
  <c r="J29" i="65"/>
  <c r="J30" i="65" s="1"/>
  <c r="L28" i="65"/>
  <c r="H39" i="65"/>
  <c r="J61" i="65" l="1"/>
  <c r="L29" i="65"/>
  <c r="L30" i="65" s="1"/>
  <c r="M28" i="65"/>
  <c r="M29" i="65" s="1"/>
  <c r="M30" i="65" s="1"/>
  <c r="L47" i="65"/>
  <c r="L48" i="65" s="1"/>
  <c r="M46" i="65"/>
  <c r="M47" i="65" s="1"/>
  <c r="M48" i="65" s="1"/>
  <c r="M25" i="65"/>
  <c r="M61" i="65" s="1"/>
  <c r="M20" i="65"/>
  <c r="M26" i="65" s="1"/>
  <c r="L34" i="65"/>
  <c r="O34" i="65" s="1"/>
  <c r="O33" i="65"/>
  <c r="L57" i="65"/>
  <c r="L58" i="65" s="1"/>
  <c r="M54" i="65"/>
  <c r="M57" i="65" s="1"/>
  <c r="M58" i="65" s="1"/>
  <c r="M44" i="65"/>
  <c r="H40" i="65"/>
  <c r="J48" i="65"/>
  <c r="L25" i="65"/>
  <c r="L20" i="65"/>
  <c r="J39" i="65"/>
  <c r="J40" i="65" s="1"/>
  <c r="O19" i="65"/>
  <c r="J62" i="65"/>
  <c r="M15" i="65"/>
  <c r="L15" i="65"/>
  <c r="O14" i="65"/>
  <c r="L44" i="65"/>
  <c r="O43" i="65"/>
  <c r="O57" i="65" l="1"/>
  <c r="O58" i="65"/>
  <c r="O47" i="65"/>
  <c r="J63" i="65"/>
  <c r="J64" i="65" s="1"/>
  <c r="O48" i="65"/>
  <c r="O30" i="65"/>
  <c r="L39" i="65"/>
  <c r="L40" i="65" s="1"/>
  <c r="O15" i="65"/>
  <c r="L26" i="65"/>
  <c r="O26" i="65" s="1"/>
  <c r="O20" i="65"/>
  <c r="M62" i="65"/>
  <c r="M63" i="65" s="1"/>
  <c r="M64" i="65" s="1"/>
  <c r="L62" i="65"/>
  <c r="L61" i="65"/>
  <c r="O29" i="65"/>
  <c r="O25" i="65"/>
  <c r="M39" i="65"/>
  <c r="M40" i="65" s="1"/>
  <c r="O44" i="65"/>
  <c r="O40" i="65" l="1"/>
  <c r="O62" i="65"/>
  <c r="L63" i="65"/>
  <c r="O61" i="65"/>
  <c r="O39" i="65"/>
  <c r="L64" i="65" l="1"/>
  <c r="O64" i="65" s="1"/>
  <c r="O63" i="65"/>
  <c r="N64" i="64" l="1"/>
  <c r="N63" i="64"/>
  <c r="N62" i="64"/>
  <c r="N61" i="64"/>
  <c r="O60" i="64"/>
  <c r="N60" i="64"/>
  <c r="O59" i="64"/>
  <c r="N59" i="64"/>
  <c r="N58" i="64"/>
  <c r="N57" i="64"/>
  <c r="F56" i="64"/>
  <c r="H56" i="64" s="1"/>
  <c r="J56" i="64" s="1"/>
  <c r="L56" i="64" s="1"/>
  <c r="M56" i="64" s="1"/>
  <c r="O55" i="64"/>
  <c r="N55" i="64"/>
  <c r="D54" i="64"/>
  <c r="N53" i="64"/>
  <c r="M53" i="64"/>
  <c r="L53" i="64"/>
  <c r="J53" i="64"/>
  <c r="H53" i="64"/>
  <c r="F53" i="64"/>
  <c r="D53" i="64"/>
  <c r="N52" i="64"/>
  <c r="N51" i="64"/>
  <c r="D51" i="64"/>
  <c r="D52" i="64" s="1"/>
  <c r="D50" i="64"/>
  <c r="F50" i="64" s="1"/>
  <c r="H50" i="64" s="1"/>
  <c r="N49" i="64"/>
  <c r="M49" i="64"/>
  <c r="L49" i="64"/>
  <c r="J49" i="64"/>
  <c r="H49" i="64"/>
  <c r="D49" i="64"/>
  <c r="N48" i="64"/>
  <c r="N47" i="64"/>
  <c r="D46" i="64"/>
  <c r="N45" i="64"/>
  <c r="N44" i="64"/>
  <c r="N43" i="64"/>
  <c r="D42" i="64"/>
  <c r="D43" i="64" s="1"/>
  <c r="N41" i="64"/>
  <c r="F41" i="64"/>
  <c r="D41" i="64"/>
  <c r="N40" i="64"/>
  <c r="N39" i="64"/>
  <c r="O38" i="64"/>
  <c r="N38" i="64"/>
  <c r="O37" i="64"/>
  <c r="N37" i="64"/>
  <c r="O36" i="64"/>
  <c r="N36" i="64"/>
  <c r="O35" i="64"/>
  <c r="N35" i="64"/>
  <c r="N34" i="64"/>
  <c r="N33" i="64"/>
  <c r="H33" i="64"/>
  <c r="H34" i="64" s="1"/>
  <c r="F33" i="64"/>
  <c r="F34" i="64" s="1"/>
  <c r="D33" i="64"/>
  <c r="D34" i="64" s="1"/>
  <c r="F32" i="64"/>
  <c r="H32" i="64" s="1"/>
  <c r="J32" i="64" s="1"/>
  <c r="J33" i="64" s="1"/>
  <c r="J34" i="64" s="1"/>
  <c r="O31" i="64"/>
  <c r="N31" i="64"/>
  <c r="N30" i="64"/>
  <c r="N29" i="64"/>
  <c r="D28" i="64"/>
  <c r="F28" i="64" s="1"/>
  <c r="N27" i="64"/>
  <c r="F27" i="64"/>
  <c r="O27" i="64" s="1"/>
  <c r="Q27" i="64" s="1"/>
  <c r="N26" i="64"/>
  <c r="N25" i="64"/>
  <c r="N24" i="64"/>
  <c r="N23" i="64"/>
  <c r="D23" i="64"/>
  <c r="D24" i="64" s="1"/>
  <c r="F22" i="64"/>
  <c r="F23" i="64" s="1"/>
  <c r="F24" i="64" s="1"/>
  <c r="O21" i="64"/>
  <c r="Q21" i="64" s="1"/>
  <c r="N21" i="64"/>
  <c r="N20" i="64"/>
  <c r="N19" i="64"/>
  <c r="D19" i="64"/>
  <c r="D20" i="64" s="1"/>
  <c r="F18" i="64"/>
  <c r="F19" i="64" s="1"/>
  <c r="O17" i="64"/>
  <c r="Q17" i="64" s="1"/>
  <c r="N17" i="64"/>
  <c r="N16" i="64"/>
  <c r="M16" i="64"/>
  <c r="M45" i="64" s="1"/>
  <c r="L16" i="64"/>
  <c r="L45" i="64" s="1"/>
  <c r="J16" i="64"/>
  <c r="J45" i="64" s="1"/>
  <c r="H16" i="64"/>
  <c r="H45" i="64" s="1"/>
  <c r="F16" i="64"/>
  <c r="F45" i="64" s="1"/>
  <c r="D16" i="64"/>
  <c r="D45" i="64" s="1"/>
  <c r="N15" i="64"/>
  <c r="D15" i="64"/>
  <c r="N14" i="64"/>
  <c r="D14" i="64"/>
  <c r="F13" i="64"/>
  <c r="F14" i="64" s="1"/>
  <c r="N12" i="64"/>
  <c r="M12" i="64"/>
  <c r="M41" i="64" s="1"/>
  <c r="L12" i="64"/>
  <c r="L41" i="64" s="1"/>
  <c r="J12" i="64"/>
  <c r="J41" i="64" s="1"/>
  <c r="H12" i="64"/>
  <c r="O45" i="64" l="1"/>
  <c r="F42" i="64"/>
  <c r="F43" i="64" s="1"/>
  <c r="F49" i="64"/>
  <c r="O53" i="64"/>
  <c r="H13" i="64"/>
  <c r="J13" i="64" s="1"/>
  <c r="J14" i="64" s="1"/>
  <c r="J15" i="64" s="1"/>
  <c r="F29" i="64"/>
  <c r="F30" i="64" s="1"/>
  <c r="D47" i="64"/>
  <c r="D26" i="64"/>
  <c r="F44" i="64"/>
  <c r="O49" i="64"/>
  <c r="H51" i="64"/>
  <c r="H52" i="64" s="1"/>
  <c r="J50" i="64"/>
  <c r="D57" i="64"/>
  <c r="F54" i="64"/>
  <c r="O12" i="64"/>
  <c r="Q12" i="64" s="1"/>
  <c r="L13" i="64"/>
  <c r="D25" i="64"/>
  <c r="D61" i="64" s="1"/>
  <c r="D29" i="64"/>
  <c r="L32" i="64"/>
  <c r="H42" i="64"/>
  <c r="D48" i="64"/>
  <c r="O16" i="64"/>
  <c r="F25" i="64"/>
  <c r="F20" i="64"/>
  <c r="F26" i="64" s="1"/>
  <c r="H22" i="64"/>
  <c r="H28" i="64"/>
  <c r="H41" i="64"/>
  <c r="O41" i="64" s="1"/>
  <c r="F46" i="64"/>
  <c r="F15" i="64"/>
  <c r="H18" i="64"/>
  <c r="D44" i="64"/>
  <c r="F51" i="64"/>
  <c r="F52" i="64" s="1"/>
  <c r="H14" i="64"/>
  <c r="F61" i="64" l="1"/>
  <c r="H15" i="64"/>
  <c r="H46" i="64"/>
  <c r="F47" i="64"/>
  <c r="D58" i="64"/>
  <c r="D62" i="64"/>
  <c r="D63" i="64" s="1"/>
  <c r="J22" i="64"/>
  <c r="H23" i="64"/>
  <c r="L33" i="64"/>
  <c r="M32" i="64"/>
  <c r="M33" i="64" s="1"/>
  <c r="M34" i="64" s="1"/>
  <c r="L14" i="64"/>
  <c r="M13" i="64"/>
  <c r="M14" i="64" s="1"/>
  <c r="L50" i="64"/>
  <c r="J51" i="64"/>
  <c r="J52" i="64" s="1"/>
  <c r="D39" i="64"/>
  <c r="D30" i="64"/>
  <c r="J18" i="64"/>
  <c r="H19" i="64"/>
  <c r="H29" i="64"/>
  <c r="H30" i="64" s="1"/>
  <c r="J28" i="64"/>
  <c r="H43" i="64"/>
  <c r="J42" i="64"/>
  <c r="F57" i="64"/>
  <c r="F58" i="64" s="1"/>
  <c r="H54" i="64"/>
  <c r="J29" i="64" l="1"/>
  <c r="J30" i="64" s="1"/>
  <c r="L28" i="64"/>
  <c r="L18" i="64"/>
  <c r="J19" i="64"/>
  <c r="M50" i="64"/>
  <c r="M51" i="64" s="1"/>
  <c r="M52" i="64" s="1"/>
  <c r="L51" i="64"/>
  <c r="L34" i="64"/>
  <c r="O34" i="64" s="1"/>
  <c r="O33" i="64"/>
  <c r="M15" i="64"/>
  <c r="H24" i="64"/>
  <c r="D64" i="64"/>
  <c r="D2" i="64"/>
  <c r="L42" i="64"/>
  <c r="J43" i="64"/>
  <c r="D40" i="64"/>
  <c r="L15" i="64"/>
  <c r="O15" i="64" s="1"/>
  <c r="J23" i="64"/>
  <c r="J24" i="64" s="1"/>
  <c r="L22" i="64"/>
  <c r="F48" i="64"/>
  <c r="F39" i="64"/>
  <c r="F40" i="64" s="1"/>
  <c r="F62" i="64"/>
  <c r="F63" i="64" s="1"/>
  <c r="O14" i="64"/>
  <c r="J54" i="64"/>
  <c r="H57" i="64"/>
  <c r="H58" i="64" s="1"/>
  <c r="H44" i="64"/>
  <c r="H25" i="64"/>
  <c r="H20" i="64"/>
  <c r="H47" i="64"/>
  <c r="H48" i="64" s="1"/>
  <c r="J46" i="64"/>
  <c r="H62" i="64" l="1"/>
  <c r="J47" i="64"/>
  <c r="J48" i="64" s="1"/>
  <c r="L46" i="64"/>
  <c r="L54" i="64"/>
  <c r="J57" i="64"/>
  <c r="H26" i="64"/>
  <c r="H39" i="64"/>
  <c r="H40" i="64" s="1"/>
  <c r="J39" i="64"/>
  <c r="J40" i="64" s="1"/>
  <c r="J44" i="64"/>
  <c r="J25" i="64"/>
  <c r="J61" i="64" s="1"/>
  <c r="J20" i="64"/>
  <c r="J26" i="64" s="1"/>
  <c r="H61" i="64"/>
  <c r="F64" i="64"/>
  <c r="F5" i="64"/>
  <c r="M22" i="64"/>
  <c r="M23" i="64" s="1"/>
  <c r="M24" i="64" s="1"/>
  <c r="L23" i="64"/>
  <c r="L24" i="64" s="1"/>
  <c r="O24" i="64" s="1"/>
  <c r="L43" i="64"/>
  <c r="O43" i="64" s="1"/>
  <c r="M42" i="64"/>
  <c r="M43" i="64" s="1"/>
  <c r="L19" i="64"/>
  <c r="M18" i="64"/>
  <c r="M19" i="64" s="1"/>
  <c r="O23" i="64"/>
  <c r="L52" i="64"/>
  <c r="O52" i="64" s="1"/>
  <c r="O51" i="64"/>
  <c r="M28" i="64"/>
  <c r="M29" i="64" s="1"/>
  <c r="M30" i="64" s="1"/>
  <c r="L29" i="64"/>
  <c r="L44" i="64" l="1"/>
  <c r="H63" i="64"/>
  <c r="J58" i="64"/>
  <c r="L30" i="64"/>
  <c r="O30" i="64" s="1"/>
  <c r="O29" i="64"/>
  <c r="M25" i="64"/>
  <c r="M61" i="64" s="1"/>
  <c r="M20" i="64"/>
  <c r="M26" i="64" s="1"/>
  <c r="J62" i="64"/>
  <c r="L57" i="64"/>
  <c r="L58" i="64" s="1"/>
  <c r="M54" i="64"/>
  <c r="M57" i="64" s="1"/>
  <c r="M58" i="64" s="1"/>
  <c r="L25" i="64"/>
  <c r="L61" i="64" s="1"/>
  <c r="L20" i="64"/>
  <c r="O19" i="64"/>
  <c r="J63" i="64"/>
  <c r="J64" i="64" s="1"/>
  <c r="L47" i="64"/>
  <c r="M46" i="64"/>
  <c r="M47" i="64" s="1"/>
  <c r="M48" i="64" s="1"/>
  <c r="M44" i="64"/>
  <c r="O25" i="64"/>
  <c r="H64" i="64" l="1"/>
  <c r="M62" i="64"/>
  <c r="O57" i="64"/>
  <c r="L26" i="64"/>
  <c r="O26" i="64" s="1"/>
  <c r="O20" i="64"/>
  <c r="M63" i="64"/>
  <c r="M64" i="64" s="1"/>
  <c r="O58" i="64"/>
  <c r="L62" i="64"/>
  <c r="M39" i="64"/>
  <c r="M40" i="64" s="1"/>
  <c r="L48" i="64"/>
  <c r="O48" i="64" s="1"/>
  <c r="O47" i="64"/>
  <c r="L63" i="64"/>
  <c r="L64" i="64" s="1"/>
  <c r="O62" i="64"/>
  <c r="O61" i="64"/>
  <c r="L39" i="64"/>
  <c r="O44" i="64"/>
  <c r="O63" i="64" l="1"/>
  <c r="L40" i="64"/>
  <c r="O40" i="64" s="1"/>
  <c r="O39" i="64"/>
  <c r="O64" i="64"/>
  <c r="N64" i="63" l="1"/>
  <c r="N63" i="63"/>
  <c r="N62" i="63"/>
  <c r="N61" i="63"/>
  <c r="O60" i="63"/>
  <c r="N60" i="63"/>
  <c r="O59" i="63"/>
  <c r="N59" i="63"/>
  <c r="N58" i="63"/>
  <c r="N57" i="63"/>
  <c r="H56" i="63"/>
  <c r="J56" i="63" s="1"/>
  <c r="L56" i="63" s="1"/>
  <c r="M56" i="63" s="1"/>
  <c r="F56" i="63"/>
  <c r="O55" i="63"/>
  <c r="N55" i="63"/>
  <c r="D54" i="63"/>
  <c r="F54" i="63" s="1"/>
  <c r="N53" i="63"/>
  <c r="M53" i="63"/>
  <c r="L53" i="63"/>
  <c r="J53" i="63"/>
  <c r="H53" i="63"/>
  <c r="F53" i="63"/>
  <c r="D53" i="63"/>
  <c r="N52" i="63"/>
  <c r="N51" i="63"/>
  <c r="D50" i="63"/>
  <c r="F50" i="63" s="1"/>
  <c r="H50" i="63" s="1"/>
  <c r="H51" i="63" s="1"/>
  <c r="H52" i="63" s="1"/>
  <c r="N49" i="63"/>
  <c r="M49" i="63"/>
  <c r="L49" i="63"/>
  <c r="J49" i="63"/>
  <c r="H49" i="63"/>
  <c r="D49" i="63"/>
  <c r="N48" i="63"/>
  <c r="N47" i="63"/>
  <c r="D46" i="63"/>
  <c r="N45" i="63"/>
  <c r="N44" i="63"/>
  <c r="N43" i="63"/>
  <c r="D43" i="63"/>
  <c r="D42" i="63"/>
  <c r="F42" i="63" s="1"/>
  <c r="H42" i="63" s="1"/>
  <c r="N41" i="63"/>
  <c r="L41" i="63"/>
  <c r="J41" i="63"/>
  <c r="H41" i="63"/>
  <c r="F41" i="63"/>
  <c r="D41" i="63"/>
  <c r="N40" i="63"/>
  <c r="N39" i="63"/>
  <c r="O38" i="63"/>
  <c r="N38" i="63"/>
  <c r="O37" i="63"/>
  <c r="N37" i="63"/>
  <c r="O36" i="63"/>
  <c r="N36" i="63"/>
  <c r="O35" i="63"/>
  <c r="N35" i="63"/>
  <c r="N34" i="63"/>
  <c r="D34" i="63"/>
  <c r="N33" i="63"/>
  <c r="D33" i="63"/>
  <c r="F32" i="63"/>
  <c r="F33" i="63" s="1"/>
  <c r="F34" i="63" s="1"/>
  <c r="O31" i="63"/>
  <c r="N31" i="63"/>
  <c r="N30" i="63"/>
  <c r="N29" i="63"/>
  <c r="D28" i="63"/>
  <c r="D29" i="63" s="1"/>
  <c r="D30" i="63" s="1"/>
  <c r="N27" i="63"/>
  <c r="F27" i="63"/>
  <c r="N26" i="63"/>
  <c r="N25" i="63"/>
  <c r="N24" i="63"/>
  <c r="N23" i="63"/>
  <c r="D23" i="63"/>
  <c r="D24" i="63" s="1"/>
  <c r="F22" i="63"/>
  <c r="F23" i="63" s="1"/>
  <c r="F24" i="63" s="1"/>
  <c r="O21" i="63"/>
  <c r="Q21" i="63" s="1"/>
  <c r="N21" i="63"/>
  <c r="N20" i="63"/>
  <c r="N19" i="63"/>
  <c r="D19" i="63"/>
  <c r="D20" i="63" s="1"/>
  <c r="F18" i="63"/>
  <c r="F19" i="63" s="1"/>
  <c r="O17" i="63"/>
  <c r="Q17" i="63" s="1"/>
  <c r="N17" i="63"/>
  <c r="N16" i="63"/>
  <c r="M16" i="63"/>
  <c r="M45" i="63" s="1"/>
  <c r="L16" i="63"/>
  <c r="L45" i="63" s="1"/>
  <c r="J16" i="63"/>
  <c r="J45" i="63" s="1"/>
  <c r="H16" i="63"/>
  <c r="H45" i="63" s="1"/>
  <c r="F16" i="63"/>
  <c r="F45" i="63" s="1"/>
  <c r="D16" i="63"/>
  <c r="D45" i="63" s="1"/>
  <c r="N15" i="63"/>
  <c r="N14" i="63"/>
  <c r="D14" i="63"/>
  <c r="D15" i="63" s="1"/>
  <c r="F13" i="63"/>
  <c r="F14" i="63" s="1"/>
  <c r="N12" i="63"/>
  <c r="M41" i="63"/>
  <c r="O12" i="63"/>
  <c r="Q12" i="63" s="1"/>
  <c r="D57" i="63" l="1"/>
  <c r="D58" i="63" s="1"/>
  <c r="F28" i="63"/>
  <c r="H28" i="63" s="1"/>
  <c r="H29" i="63" s="1"/>
  <c r="H30" i="63" s="1"/>
  <c r="D51" i="63"/>
  <c r="D52" i="63" s="1"/>
  <c r="O53" i="63"/>
  <c r="O45" i="63"/>
  <c r="O41" i="63"/>
  <c r="F51" i="63"/>
  <c r="F52" i="63" s="1"/>
  <c r="F15" i="63"/>
  <c r="F25" i="63"/>
  <c r="F20" i="63"/>
  <c r="F26" i="63" s="1"/>
  <c r="D26" i="63"/>
  <c r="H43" i="63"/>
  <c r="J42" i="63"/>
  <c r="F49" i="63"/>
  <c r="O49" i="63" s="1"/>
  <c r="O27" i="63"/>
  <c r="Q27" i="63" s="1"/>
  <c r="F29" i="63"/>
  <c r="D47" i="63"/>
  <c r="D62" i="63"/>
  <c r="H13" i="63"/>
  <c r="O16" i="63"/>
  <c r="H18" i="63"/>
  <c r="H22" i="63"/>
  <c r="J28" i="63"/>
  <c r="F43" i="63"/>
  <c r="D44" i="63"/>
  <c r="F46" i="63"/>
  <c r="J50" i="63"/>
  <c r="F57" i="63"/>
  <c r="F58" i="63" s="1"/>
  <c r="H54" i="63"/>
  <c r="D25" i="63"/>
  <c r="D39" i="63"/>
  <c r="H32" i="63"/>
  <c r="F61" i="63" l="1"/>
  <c r="F44" i="63"/>
  <c r="J43" i="63"/>
  <c r="L42" i="63"/>
  <c r="D40" i="63"/>
  <c r="J51" i="63"/>
  <c r="L50" i="63"/>
  <c r="J29" i="63"/>
  <c r="J30" i="63" s="1"/>
  <c r="L28" i="63"/>
  <c r="H14" i="63"/>
  <c r="J13" i="63"/>
  <c r="F30" i="63"/>
  <c r="H44" i="63"/>
  <c r="J32" i="63"/>
  <c r="H33" i="63"/>
  <c r="D61" i="63"/>
  <c r="F47" i="63"/>
  <c r="F48" i="63" s="1"/>
  <c r="H46" i="63"/>
  <c r="H23" i="63"/>
  <c r="J22" i="63"/>
  <c r="H57" i="63"/>
  <c r="H58" i="63" s="1"/>
  <c r="J54" i="63"/>
  <c r="H19" i="63"/>
  <c r="J18" i="63"/>
  <c r="D48" i="63"/>
  <c r="L18" i="63" l="1"/>
  <c r="J19" i="63"/>
  <c r="J46" i="63"/>
  <c r="H47" i="63"/>
  <c r="H34" i="63"/>
  <c r="H15" i="63"/>
  <c r="J52" i="63"/>
  <c r="H25" i="63"/>
  <c r="H20" i="63"/>
  <c r="J33" i="63"/>
  <c r="J34" i="63" s="1"/>
  <c r="L32" i="63"/>
  <c r="L29" i="63"/>
  <c r="M28" i="63"/>
  <c r="M29" i="63" s="1"/>
  <c r="M30" i="63" s="1"/>
  <c r="M42" i="63"/>
  <c r="M43" i="63" s="1"/>
  <c r="L43" i="63"/>
  <c r="F62" i="63"/>
  <c r="L22" i="63"/>
  <c r="J23" i="63"/>
  <c r="J24" i="63" s="1"/>
  <c r="D63" i="63"/>
  <c r="J44" i="63"/>
  <c r="F39" i="63"/>
  <c r="J57" i="63"/>
  <c r="J58" i="63" s="1"/>
  <c r="L54" i="63"/>
  <c r="H24" i="63"/>
  <c r="L13" i="63"/>
  <c r="J14" i="63"/>
  <c r="L51" i="63"/>
  <c r="L52" i="63" s="1"/>
  <c r="M50" i="63"/>
  <c r="M51" i="63" s="1"/>
  <c r="M52" i="63" s="1"/>
  <c r="F40" i="63" l="1"/>
  <c r="L23" i="63"/>
  <c r="M22" i="63"/>
  <c r="M23" i="63" s="1"/>
  <c r="M24" i="63" s="1"/>
  <c r="M44" i="63"/>
  <c r="L33" i="63"/>
  <c r="M32" i="63"/>
  <c r="M33" i="63" s="1"/>
  <c r="M34" i="63" s="1"/>
  <c r="H48" i="63"/>
  <c r="H39" i="63"/>
  <c r="H40" i="63" s="1"/>
  <c r="H62" i="63"/>
  <c r="O43" i="63"/>
  <c r="J15" i="63"/>
  <c r="M54" i="63"/>
  <c r="M57" i="63" s="1"/>
  <c r="M58" i="63" s="1"/>
  <c r="L57" i="63"/>
  <c r="D4" i="63"/>
  <c r="D64" i="63"/>
  <c r="L14" i="63"/>
  <c r="M13" i="63"/>
  <c r="M14" i="63" s="1"/>
  <c r="F63" i="63"/>
  <c r="O52" i="63"/>
  <c r="J25" i="63"/>
  <c r="J61" i="63" s="1"/>
  <c r="J20" i="63"/>
  <c r="J26" i="63" s="1"/>
  <c r="L44" i="63"/>
  <c r="L30" i="63"/>
  <c r="O30" i="63" s="1"/>
  <c r="O29" i="63"/>
  <c r="H26" i="63"/>
  <c r="L19" i="63"/>
  <c r="M18" i="63"/>
  <c r="M19" i="63" s="1"/>
  <c r="O51" i="63"/>
  <c r="H61" i="63"/>
  <c r="L46" i="63"/>
  <c r="J47" i="63"/>
  <c r="O14" i="63" l="1"/>
  <c r="O44" i="63"/>
  <c r="H63" i="63"/>
  <c r="H64" i="63" s="1"/>
  <c r="L58" i="63"/>
  <c r="O58" i="63" s="1"/>
  <c r="O57" i="63"/>
  <c r="L24" i="63"/>
  <c r="O24" i="63" s="1"/>
  <c r="O23" i="63"/>
  <c r="F64" i="63"/>
  <c r="F5" i="63"/>
  <c r="J48" i="63"/>
  <c r="J62" i="63"/>
  <c r="J39" i="63"/>
  <c r="M20" i="63"/>
  <c r="M26" i="63" s="1"/>
  <c r="M25" i="63"/>
  <c r="M61" i="63" s="1"/>
  <c r="M15" i="63"/>
  <c r="L47" i="63"/>
  <c r="M46" i="63"/>
  <c r="M47" i="63" s="1"/>
  <c r="L20" i="63"/>
  <c r="L26" i="63" s="1"/>
  <c r="O26" i="63" s="1"/>
  <c r="L25" i="63"/>
  <c r="O19" i="63"/>
  <c r="L15" i="63"/>
  <c r="L34" i="63"/>
  <c r="O34" i="63" s="1"/>
  <c r="O33" i="63"/>
  <c r="O25" i="63" l="1"/>
  <c r="O20" i="63"/>
  <c r="O15" i="63"/>
  <c r="L48" i="63"/>
  <c r="L62" i="63"/>
  <c r="L39" i="63"/>
  <c r="L40" i="63" s="1"/>
  <c r="O47" i="63"/>
  <c r="L61" i="63"/>
  <c r="M48" i="63"/>
  <c r="M39" i="63"/>
  <c r="M40" i="63" s="1"/>
  <c r="M62" i="63"/>
  <c r="M63" i="63" s="1"/>
  <c r="M64" i="63" s="1"/>
  <c r="J40" i="63"/>
  <c r="J63" i="63"/>
  <c r="O39" i="63" l="1"/>
  <c r="O62" i="63"/>
  <c r="O40" i="63"/>
  <c r="L63" i="63"/>
  <c r="L64" i="63" s="1"/>
  <c r="O61" i="63"/>
  <c r="J64" i="63"/>
  <c r="O48" i="63"/>
  <c r="O63" i="63" l="1"/>
  <c r="O64" i="63"/>
  <c r="M12" i="62"/>
  <c r="L12" i="62"/>
  <c r="J12" i="62"/>
  <c r="H12" i="62"/>
  <c r="O12" i="62" l="1"/>
  <c r="Q12" i="62" s="1"/>
  <c r="D28" i="62" l="1"/>
  <c r="N64" i="62" l="1"/>
  <c r="N63" i="62"/>
  <c r="N62" i="62"/>
  <c r="N61" i="62"/>
  <c r="O60" i="62"/>
  <c r="N60" i="62"/>
  <c r="O59" i="62"/>
  <c r="N59" i="62"/>
  <c r="N58" i="62"/>
  <c r="N57" i="62"/>
  <c r="O55" i="62"/>
  <c r="N55" i="62"/>
  <c r="N53" i="62"/>
  <c r="N52" i="62"/>
  <c r="N51" i="62"/>
  <c r="N49" i="62"/>
  <c r="N48" i="62"/>
  <c r="N47" i="62"/>
  <c r="N45" i="62"/>
  <c r="N44" i="62"/>
  <c r="N43" i="62"/>
  <c r="N41" i="62"/>
  <c r="N40" i="62"/>
  <c r="N39" i="62"/>
  <c r="O38" i="62"/>
  <c r="N38" i="62"/>
  <c r="O37" i="62"/>
  <c r="N37" i="62"/>
  <c r="O36" i="62"/>
  <c r="N36" i="62"/>
  <c r="O35" i="62"/>
  <c r="N35" i="62"/>
  <c r="N34" i="62"/>
  <c r="N33" i="62"/>
  <c r="O31" i="62"/>
  <c r="N31" i="62"/>
  <c r="N30" i="62"/>
  <c r="N29" i="62"/>
  <c r="O27" i="62"/>
  <c r="Q27" i="62" s="1"/>
  <c r="N27" i="62"/>
  <c r="N26" i="62"/>
  <c r="N25" i="62"/>
  <c r="N24" i="62"/>
  <c r="N23" i="62"/>
  <c r="O21" i="62"/>
  <c r="Q21" i="62" s="1"/>
  <c r="N21" i="62"/>
  <c r="N20" i="62"/>
  <c r="N19" i="62"/>
  <c r="O17" i="62"/>
  <c r="Q17" i="62" s="1"/>
  <c r="N17" i="62"/>
  <c r="N16" i="62"/>
  <c r="N15" i="62"/>
  <c r="N14" i="62"/>
  <c r="N12" i="62"/>
  <c r="D41" i="62" l="1"/>
  <c r="D54" i="62" l="1"/>
  <c r="D50" i="62"/>
  <c r="D46" i="62"/>
  <c r="D42" i="62"/>
  <c r="F42" i="62" s="1"/>
  <c r="H42" i="62" s="1"/>
  <c r="M53" i="62" l="1"/>
  <c r="M49" i="62"/>
  <c r="M41" i="62"/>
  <c r="M16" i="62"/>
  <c r="M45" i="62" s="1"/>
  <c r="L53" i="62"/>
  <c r="L49" i="62"/>
  <c r="L41" i="62"/>
  <c r="L16" i="62"/>
  <c r="L45" i="62" s="1"/>
  <c r="F18" i="62" l="1"/>
  <c r="F13" i="62"/>
  <c r="H13" i="62" s="1"/>
  <c r="J13" i="62" s="1"/>
  <c r="L13" i="62" s="1"/>
  <c r="M13" i="62" l="1"/>
  <c r="M14" i="62" s="1"/>
  <c r="M15" i="62" s="1"/>
  <c r="L14" i="62"/>
  <c r="L15" i="62" s="1"/>
  <c r="J53" i="62" l="1"/>
  <c r="H53" i="62"/>
  <c r="F53" i="62"/>
  <c r="D53" i="62"/>
  <c r="J49" i="62"/>
  <c r="H49" i="62"/>
  <c r="F49" i="62"/>
  <c r="D49" i="62"/>
  <c r="J41" i="62"/>
  <c r="H41" i="62"/>
  <c r="F41" i="62"/>
  <c r="J16" i="62"/>
  <c r="H16" i="62"/>
  <c r="F16" i="62"/>
  <c r="D16" i="62"/>
  <c r="F14" i="62"/>
  <c r="D14" i="62"/>
  <c r="F56" i="62"/>
  <c r="H56" i="62" s="1"/>
  <c r="J56" i="62" s="1"/>
  <c r="L56" i="62" s="1"/>
  <c r="M56" i="62" s="1"/>
  <c r="F54" i="62"/>
  <c r="H54" i="62" s="1"/>
  <c r="J54" i="62" s="1"/>
  <c r="L54" i="62" s="1"/>
  <c r="F50" i="62"/>
  <c r="H50" i="62" s="1"/>
  <c r="J50" i="62" s="1"/>
  <c r="L50" i="62" s="1"/>
  <c r="F46" i="62"/>
  <c r="H46" i="62" s="1"/>
  <c r="J46" i="62" s="1"/>
  <c r="L46" i="62" s="1"/>
  <c r="J42" i="62"/>
  <c r="L42" i="62" s="1"/>
  <c r="F22" i="62"/>
  <c r="H22" i="62" s="1"/>
  <c r="J22" i="62" s="1"/>
  <c r="L22" i="62" s="1"/>
  <c r="H18" i="62"/>
  <c r="J18" i="62" s="1"/>
  <c r="L18" i="62" s="1"/>
  <c r="O49" i="62" l="1"/>
  <c r="O53" i="62"/>
  <c r="O16" i="62"/>
  <c r="O41" i="62"/>
  <c r="D45" i="62"/>
  <c r="D47" i="62" s="1"/>
  <c r="L23" i="62"/>
  <c r="L24" i="62" s="1"/>
  <c r="M22" i="62"/>
  <c r="M23" i="62" s="1"/>
  <c r="M24" i="62" s="1"/>
  <c r="M18" i="62"/>
  <c r="M19" i="62" s="1"/>
  <c r="L19" i="62"/>
  <c r="L57" i="62"/>
  <c r="L58" i="62" s="1"/>
  <c r="M54" i="62"/>
  <c r="M57" i="62" s="1"/>
  <c r="M58" i="62" s="1"/>
  <c r="M50" i="62"/>
  <c r="M51" i="62" s="1"/>
  <c r="M52" i="62" s="1"/>
  <c r="L51" i="62"/>
  <c r="L52" i="62" s="1"/>
  <c r="L47" i="62"/>
  <c r="L48" i="62" s="1"/>
  <c r="M46" i="62"/>
  <c r="M47" i="62" s="1"/>
  <c r="M48" i="62" s="1"/>
  <c r="L43" i="62"/>
  <c r="M42" i="62"/>
  <c r="M43" i="62" s="1"/>
  <c r="F32" i="62"/>
  <c r="H32" i="62" s="1"/>
  <c r="J32" i="62" s="1"/>
  <c r="L32" i="62" s="1"/>
  <c r="F28" i="62"/>
  <c r="H28" i="62" s="1"/>
  <c r="J28" i="62" s="1"/>
  <c r="L28" i="62" s="1"/>
  <c r="J45" i="62"/>
  <c r="H45" i="62"/>
  <c r="F45" i="62"/>
  <c r="F47" i="62" s="1"/>
  <c r="F15" i="62"/>
  <c r="D15" i="62"/>
  <c r="F51" i="62"/>
  <c r="H14" i="62"/>
  <c r="J14" i="62"/>
  <c r="J23" i="62"/>
  <c r="J51" i="62"/>
  <c r="D33" i="62"/>
  <c r="D23" i="62"/>
  <c r="D51" i="62"/>
  <c r="F19" i="62"/>
  <c r="J43" i="62"/>
  <c r="F43" i="62"/>
  <c r="H57" i="62"/>
  <c r="H19" i="62"/>
  <c r="F23" i="62"/>
  <c r="D29" i="62"/>
  <c r="D19" i="62"/>
  <c r="H23" i="62"/>
  <c r="D43" i="62"/>
  <c r="H43" i="62"/>
  <c r="H51" i="62"/>
  <c r="F57" i="62"/>
  <c r="J57" i="62"/>
  <c r="J19" i="62"/>
  <c r="D57" i="62"/>
  <c r="O14" i="62" l="1"/>
  <c r="O43" i="62"/>
  <c r="O23" i="62"/>
  <c r="O57" i="62"/>
  <c r="O19" i="62"/>
  <c r="O51" i="62"/>
  <c r="O45" i="62"/>
  <c r="L20" i="62"/>
  <c r="L26" i="62" s="1"/>
  <c r="L25" i="62"/>
  <c r="M20" i="62"/>
  <c r="M26" i="62" s="1"/>
  <c r="M25" i="62"/>
  <c r="L44" i="62"/>
  <c r="L62" i="62"/>
  <c r="L39" i="62"/>
  <c r="L40" i="62" s="1"/>
  <c r="M44" i="62"/>
  <c r="M62" i="62"/>
  <c r="M39" i="62"/>
  <c r="M40" i="62" s="1"/>
  <c r="L33" i="62"/>
  <c r="L34" i="62" s="1"/>
  <c r="M32" i="62"/>
  <c r="M33" i="62" s="1"/>
  <c r="M34" i="62" s="1"/>
  <c r="F33" i="62"/>
  <c r="F34" i="62" s="1"/>
  <c r="M28" i="62"/>
  <c r="M29" i="62" s="1"/>
  <c r="L29" i="62"/>
  <c r="H33" i="62"/>
  <c r="H34" i="62" s="1"/>
  <c r="J33" i="62"/>
  <c r="J34" i="62" s="1"/>
  <c r="H29" i="62"/>
  <c r="H30" i="62" s="1"/>
  <c r="F29" i="62"/>
  <c r="F30" i="62" s="1"/>
  <c r="D30" i="62"/>
  <c r="D52" i="62"/>
  <c r="J29" i="62"/>
  <c r="J30" i="62" s="1"/>
  <c r="D58" i="62"/>
  <c r="J58" i="62"/>
  <c r="H58" i="62"/>
  <c r="F58" i="62"/>
  <c r="F52" i="62"/>
  <c r="H52" i="62"/>
  <c r="J52" i="62"/>
  <c r="J47" i="62"/>
  <c r="J48" i="62" s="1"/>
  <c r="H47" i="62"/>
  <c r="F48" i="62"/>
  <c r="D48" i="62"/>
  <c r="D34" i="62"/>
  <c r="D24" i="62"/>
  <c r="F24" i="62"/>
  <c r="J24" i="62"/>
  <c r="H24" i="62"/>
  <c r="J15" i="62"/>
  <c r="H15" i="62"/>
  <c r="D39" i="62"/>
  <c r="J44" i="62"/>
  <c r="H44" i="62"/>
  <c r="J20" i="62"/>
  <c r="J25" i="62"/>
  <c r="D62" i="62"/>
  <c r="D44" i="62"/>
  <c r="D20" i="62"/>
  <c r="D25" i="62"/>
  <c r="F44" i="62"/>
  <c r="F39" i="62"/>
  <c r="F62" i="62"/>
  <c r="H25" i="62"/>
  <c r="H20" i="62"/>
  <c r="F25" i="62"/>
  <c r="F20" i="62"/>
  <c r="O47" i="62" l="1"/>
  <c r="O15" i="62"/>
  <c r="O20" i="62"/>
  <c r="O33" i="62"/>
  <c r="O44" i="62"/>
  <c r="O24" i="62"/>
  <c r="O58" i="62"/>
  <c r="O29" i="62"/>
  <c r="O34" i="62"/>
  <c r="O25" i="62"/>
  <c r="O52" i="62"/>
  <c r="L30" i="62"/>
  <c r="L61" i="62"/>
  <c r="L63" i="62" s="1"/>
  <c r="M30" i="62"/>
  <c r="M61" i="62"/>
  <c r="M63" i="62" s="1"/>
  <c r="J39" i="62"/>
  <c r="J40" i="62" s="1"/>
  <c r="J62" i="62"/>
  <c r="H62" i="62"/>
  <c r="H39" i="62"/>
  <c r="H48" i="62"/>
  <c r="O48" i="62" s="1"/>
  <c r="F40" i="62"/>
  <c r="F26" i="62"/>
  <c r="F61" i="62"/>
  <c r="F63" i="62" s="1"/>
  <c r="F5" i="62" s="1"/>
  <c r="J61" i="62"/>
  <c r="D26" i="62"/>
  <c r="J26" i="62"/>
  <c r="H26" i="62"/>
  <c r="H61" i="62"/>
  <c r="D61" i="62"/>
  <c r="D40" i="62"/>
  <c r="O30" i="62" l="1"/>
  <c r="O39" i="62"/>
  <c r="O62" i="62"/>
  <c r="M64" i="62"/>
  <c r="O61" i="62"/>
  <c r="O26" i="62"/>
  <c r="L64" i="62"/>
  <c r="H40" i="62"/>
  <c r="O40" i="62" s="1"/>
  <c r="D63" i="62"/>
  <c r="H63" i="62"/>
  <c r="J63" i="62"/>
  <c r="F64" i="62"/>
  <c r="O63" i="62" l="1"/>
  <c r="D64" i="62"/>
  <c r="H64" i="62"/>
  <c r="J64" i="62"/>
  <c r="O64" i="62" l="1"/>
</calcChain>
</file>

<file path=xl/sharedStrings.xml><?xml version="1.0" encoding="utf-8"?>
<sst xmlns="http://schemas.openxmlformats.org/spreadsheetml/2006/main" count="420" uniqueCount="90">
  <si>
    <t>ВСЕГО:</t>
  </si>
  <si>
    <t>2.1.</t>
  </si>
  <si>
    <t>2.2.</t>
  </si>
  <si>
    <t>3.2.</t>
  </si>
  <si>
    <t>4.2.</t>
  </si>
  <si>
    <t>5.1.</t>
  </si>
  <si>
    <t>5.2.</t>
  </si>
  <si>
    <t>Оборудование, монтажные и пусконаладочные работы</t>
  </si>
  <si>
    <t>№пп</t>
  </si>
  <si>
    <t>Трансформаторы тока, шт.</t>
  </si>
  <si>
    <t>Оборудование для сбора и предачи данных (Шкаф, УСПД, модем), шт.</t>
  </si>
  <si>
    <t>1.</t>
  </si>
  <si>
    <t>2.</t>
  </si>
  <si>
    <t>3.</t>
  </si>
  <si>
    <t>4.</t>
  </si>
  <si>
    <t>5.</t>
  </si>
  <si>
    <t>6.4.</t>
  </si>
  <si>
    <t>Программное обеспечение, млн. руб.</t>
  </si>
  <si>
    <t>Аппаратная платформа, млн. руб. </t>
  </si>
  <si>
    <t>утв.</t>
  </si>
  <si>
    <t>кор.</t>
  </si>
  <si>
    <t>Трехфазные приборы учета, шт.</t>
  </si>
  <si>
    <t>Однофазные приборы учета, шт.</t>
  </si>
  <si>
    <t>6.</t>
  </si>
  <si>
    <t>6.1.</t>
  </si>
  <si>
    <t>6.2.</t>
  </si>
  <si>
    <t>6.3.</t>
  </si>
  <si>
    <t>Затраты на приобретение оборудования, млн. руб.</t>
  </si>
  <si>
    <t>Затраты на установку оборудования подрядной организацией, млн. руб.</t>
  </si>
  <si>
    <t>Затраты ИТОГО, млн.руб. (без НДС)</t>
  </si>
  <si>
    <t>7.</t>
  </si>
  <si>
    <t>8.</t>
  </si>
  <si>
    <t>9.</t>
  </si>
  <si>
    <t>В.В. Манаков</t>
  </si>
  <si>
    <t>1.1.</t>
  </si>
  <si>
    <t>Количество, шт.</t>
  </si>
  <si>
    <t>Трехфазный прибор учета э/энергии прямого включения с интерфейсами:</t>
  </si>
  <si>
    <t>Трехфазный прибор учета э/энергии полукосвенного включения с интерфейсами:</t>
  </si>
  <si>
    <t>Стоимость монтажа одной единицы, млн.руб.</t>
  </si>
  <si>
    <t>6.5.</t>
  </si>
  <si>
    <t>Стоимость одной единицы (на основании КП с применением дефляторов), млн.руб.</t>
  </si>
  <si>
    <t>Затраты на приобретение трехфазных приборов учета, млн.руб.</t>
  </si>
  <si>
    <t>Затраты ИТОГО, млн.руб. (с НДС)</t>
  </si>
  <si>
    <t>Затраты на приобретение однофазных приборов учета млн.руб. (без НДС)</t>
  </si>
  <si>
    <t>Затраты на приобретение однофазных приборов учета млн.руб. (с НДС)</t>
  </si>
  <si>
    <t>Затраты на приобретение трехфазных приборов учета прямого включения, млн.руб. (без НДС)</t>
  </si>
  <si>
    <t>Затраты на приобретение трехфазных приборов учета прямого включения, млн.руб. (с НДС)</t>
  </si>
  <si>
    <t>Затраты на приобретение трехфазных приборов учета полукосвенного включения, млн.руб. (без НДС)</t>
  </si>
  <si>
    <t>Затраты на приобретение трехфазных приборов учета полукосвенного включения, млн.руб. (с НДС)</t>
  </si>
  <si>
    <t>Затраты на приобретение трехфазных приборов учета, млн.руб. (с НДС)</t>
  </si>
  <si>
    <t>Затраты на приобретение трансформаторов тока, тыс.руб. (без НДС)</t>
  </si>
  <si>
    <t>Затраты на приобретение трансформаторов тока, тыс.руб. (с НДС)</t>
  </si>
  <si>
    <t>Затраты на приобретение шкафов с вмонтированными УСПД и модулями связи, млн.руб. (без НДС)</t>
  </si>
  <si>
    <t>Затраты на приобретение шкафов с вмонтированными УСПД и модулями связи, млн.руб. (с НДС)</t>
  </si>
  <si>
    <t>Центр сбора информации ИСУ (с НДС)</t>
  </si>
  <si>
    <t>Центр сбора информации ИСУ (без НДС)</t>
  </si>
  <si>
    <t>Монтажные и пусконаладочные работы по установке однофазных приборов учета, млн.руб. (без НДС)</t>
  </si>
  <si>
    <t>Монтажные и пусконаладочные работы по установке однофазных приборов учета, млн.руб. (с НДС)</t>
  </si>
  <si>
    <t>Монтажные и пусконаладочные работы по установке трехфазных приборов учета  (без трансформаторов тока), млн.руб. (без НДС)</t>
  </si>
  <si>
    <t>Монтажные и пусконаладочные работы по установке трехфазных приборов учета  (без трансформаторов тока), млн.руб. (с НДС)</t>
  </si>
  <si>
    <t>Монтажные и пусконаладочные работы по установке измерительных трансформаторов тока, млн.руб. (без НДС)</t>
  </si>
  <si>
    <t>Монтажные и пусконаладочные работы по установке измерительных трансформаторов тока, млн.руб. (с НДС)</t>
  </si>
  <si>
    <t>2.3.</t>
  </si>
  <si>
    <t>Монтажные и пусконаладочные работы по оборудованию для сбора и предачи данных (Шкаф, УСПД, модем), млн.руб. (без НДС)</t>
  </si>
  <si>
    <t>Монтажные и пусконаладочные работы по оборудованию для сбора и предачи данных (Шкаф, УСПД, модем), млн.руб. (с НДС)</t>
  </si>
  <si>
    <t>Строительномонтажные и пусконаладочные работы на ЦОД (конфигурирование Точек учета), млн.руб. (без НДС)</t>
  </si>
  <si>
    <t>Строительномонтажные и пусконаладочные работы на ЦОД (конфигурирование Точек учета), млн.руб. (с НДС)</t>
  </si>
  <si>
    <t>2020/2021</t>
  </si>
  <si>
    <t>2021/2022</t>
  </si>
  <si>
    <t>2022/2023</t>
  </si>
  <si>
    <t>2023/2024</t>
  </si>
  <si>
    <t>2024/2025</t>
  </si>
  <si>
    <t>2025/2026</t>
  </si>
  <si>
    <t>Монтажные и пусконаладочные работы (без НДС)</t>
  </si>
  <si>
    <t>Монтажные и пусконаладочные работы (с НДС)</t>
  </si>
  <si>
    <t>Стоимость монтажа одной единицы УСПД, млн.руб.</t>
  </si>
  <si>
    <t>Стоимость монтажа одной единицы УСПД (базовая станция), млн.руб.</t>
  </si>
  <si>
    <t>2026/2027</t>
  </si>
  <si>
    <t>Применяемые дефляторы согласно "Спенарным условиям формирования бизнес-плана и бюджета на 2023-2028 годы</t>
  </si>
  <si>
    <t>2027/2028</t>
  </si>
  <si>
    <t>Комплексная программа совершенствования учета электроэнергии по филиалу ПАО "ДЭК" - "Дальэнергосбыт" на 2023-2028гг.</t>
  </si>
  <si>
    <t>Первый заместитель исполнитльеного директора ПАО "ДЭК"</t>
  </si>
  <si>
    <t>Потребность до 2028вкл</t>
  </si>
  <si>
    <t>деф</t>
  </si>
  <si>
    <t>распределено 2025-2028 (по 380 шт)</t>
  </si>
  <si>
    <t>Комплексная программа совершенствования учета электроэнергии по филиалу ПАО "ДЭК" - "Хабаровскэнергосбыт" на 2023-2028гг.</t>
  </si>
  <si>
    <t>Комплексная программа совершенствования учета электроэнергии по филиалу ПАО "ДЭК" - "Амурэнергосбыт" на 2023-2028гг.</t>
  </si>
  <si>
    <t>распределено 2025-2028 (по 3670 шт)</t>
  </si>
  <si>
    <t>Комплексная программа совершенствования учета электроэнергии по филиалу ПАО "ДЭК" - "Энергосбыт ЕАО" на 2023-2028гг.</t>
  </si>
  <si>
    <t>распределено 2025-2028 (по 21297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</si>
</sst>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0000"/>
    <numFmt numFmtId="166" formatCode="#,##0.00000000"/>
    <numFmt numFmtId="167" formatCode="#,##0.0\ _₽"/>
    <numFmt numFmtId="168" formatCode="0.00000000"/>
    <numFmt numFmtId="169" formatCode="0.0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16" fillId="0" borderId="0"/>
    <xf numFmtId="0" fontId="1" fillId="0" borderId="0"/>
    <xf numFmtId="0" fontId="16" fillId="0" borderId="0"/>
    <xf numFmtId="164" fontId="1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Border="1" applyAlignment="1">
      <alignment horizontal="right"/>
    </xf>
    <xf numFmtId="166" fontId="2" fillId="5" borderId="0" xfId="0" applyNumberFormat="1" applyFont="1" applyFill="1"/>
    <xf numFmtId="3" fontId="2" fillId="0" borderId="0" xfId="0" applyNumberFormat="1" applyFont="1"/>
    <xf numFmtId="0" fontId="2" fillId="0" borderId="0" xfId="0" applyFont="1" applyFill="1"/>
    <xf numFmtId="166" fontId="2" fillId="0" borderId="0" xfId="0" applyNumberFormat="1" applyFont="1"/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/>
    <xf numFmtId="0" fontId="10" fillId="0" borderId="0" xfId="0" applyFont="1"/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66" fontId="8" fillId="2" borderId="0" xfId="0" applyNumberFormat="1" applyFont="1" applyFill="1" applyBorder="1" applyAlignment="1">
      <alignment vertical="center"/>
    </xf>
    <xf numFmtId="166" fontId="7" fillId="2" borderId="0" xfId="0" applyNumberFormat="1" applyFont="1" applyFill="1" applyBorder="1" applyAlignment="1">
      <alignment vertical="center"/>
    </xf>
    <xf numFmtId="0" fontId="10" fillId="0" borderId="0" xfId="0" applyFont="1" applyBorder="1"/>
    <xf numFmtId="9" fontId="2" fillId="0" borderId="0" xfId="1" applyFont="1"/>
    <xf numFmtId="9" fontId="12" fillId="0" borderId="0" xfId="1" applyFont="1"/>
    <xf numFmtId="166" fontId="15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horizontal="right"/>
    </xf>
    <xf numFmtId="0" fontId="17" fillId="0" borderId="0" xfId="0" applyFont="1" applyFill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vertical="center"/>
    </xf>
    <xf numFmtId="3" fontId="9" fillId="3" borderId="4" xfId="0" applyNumberFormat="1" applyFont="1" applyFill="1" applyBorder="1" applyAlignment="1">
      <alignment vertical="center"/>
    </xf>
    <xf numFmtId="166" fontId="9" fillId="7" borderId="3" xfId="0" applyNumberFormat="1" applyFont="1" applyFill="1" applyBorder="1" applyAlignment="1">
      <alignment horizontal="right" vertical="center"/>
    </xf>
    <xf numFmtId="166" fontId="9" fillId="7" borderId="4" xfId="0" applyNumberFormat="1" applyFont="1" applyFill="1" applyBorder="1" applyAlignment="1">
      <alignment horizontal="right" vertical="center"/>
    </xf>
    <xf numFmtId="168" fontId="9" fillId="4" borderId="3" xfId="0" applyNumberFormat="1" applyFont="1" applyFill="1" applyBorder="1" applyAlignment="1">
      <alignment vertical="center"/>
    </xf>
    <xf numFmtId="168" fontId="9" fillId="4" borderId="4" xfId="0" applyNumberFormat="1" applyFont="1" applyFill="1" applyBorder="1" applyAlignment="1">
      <alignment vertical="center"/>
    </xf>
    <xf numFmtId="168" fontId="9" fillId="8" borderId="3" xfId="0" applyNumberFormat="1" applyFont="1" applyFill="1" applyBorder="1" applyAlignment="1">
      <alignment horizontal="right" vertical="center"/>
    </xf>
    <xf numFmtId="168" fontId="9" fillId="8" borderId="4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vertical="center"/>
    </xf>
    <xf numFmtId="3" fontId="9" fillId="0" borderId="4" xfId="0" applyNumberFormat="1" applyFont="1" applyFill="1" applyBorder="1" applyAlignment="1">
      <alignment vertical="center"/>
    </xf>
    <xf numFmtId="0" fontId="9" fillId="7" borderId="3" xfId="0" applyFont="1" applyFill="1" applyBorder="1" applyAlignment="1">
      <alignment vertical="center" wrapText="1"/>
    </xf>
    <xf numFmtId="168" fontId="9" fillId="4" borderId="3" xfId="0" applyNumberFormat="1" applyFont="1" applyFill="1" applyBorder="1" applyAlignment="1">
      <alignment horizontal="right" vertical="center"/>
    </xf>
    <xf numFmtId="168" fontId="9" fillId="4" borderId="4" xfId="0" applyNumberFormat="1" applyFont="1" applyFill="1" applyBorder="1" applyAlignment="1">
      <alignment horizontal="right" vertical="center"/>
    </xf>
    <xf numFmtId="166" fontId="9" fillId="7" borderId="3" xfId="0" applyNumberFormat="1" applyFont="1" applyFill="1" applyBorder="1" applyAlignment="1">
      <alignment vertical="center"/>
    </xf>
    <xf numFmtId="168" fontId="9" fillId="7" borderId="3" xfId="0" applyNumberFormat="1" applyFont="1" applyFill="1" applyBorder="1" applyAlignment="1">
      <alignment vertical="center" wrapText="1"/>
    </xf>
    <xf numFmtId="168" fontId="9" fillId="7" borderId="4" xfId="0" applyNumberFormat="1" applyFont="1" applyFill="1" applyBorder="1" applyAlignment="1">
      <alignment vertical="center" wrapText="1"/>
    </xf>
    <xf numFmtId="168" fontId="9" fillId="8" borderId="4" xfId="0" applyNumberFormat="1" applyFont="1" applyFill="1" applyBorder="1" applyAlignment="1">
      <alignment vertical="center"/>
    </xf>
    <xf numFmtId="168" fontId="9" fillId="3" borderId="3" xfId="0" applyNumberFormat="1" applyFont="1" applyFill="1" applyBorder="1" applyAlignment="1">
      <alignment vertical="center"/>
    </xf>
    <xf numFmtId="168" fontId="9" fillId="3" borderId="4" xfId="0" applyNumberFormat="1" applyFont="1" applyFill="1" applyBorder="1" applyAlignment="1">
      <alignment vertical="center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4" xfId="0" applyNumberFormat="1" applyFont="1" applyFill="1" applyBorder="1" applyAlignment="1">
      <alignment vertical="center" wrapText="1"/>
    </xf>
    <xf numFmtId="3" fontId="9" fillId="7" borderId="3" xfId="0" applyNumberFormat="1" applyFont="1" applyFill="1" applyBorder="1" applyAlignment="1">
      <alignment vertical="center" wrapText="1"/>
    </xf>
    <xf numFmtId="3" fontId="9" fillId="7" borderId="4" xfId="0" applyNumberFormat="1" applyFont="1" applyFill="1" applyBorder="1" applyAlignment="1">
      <alignment vertical="center" wrapText="1"/>
    </xf>
    <xf numFmtId="168" fontId="9" fillId="8" borderId="3" xfId="0" applyNumberFormat="1" applyFont="1" applyFill="1" applyBorder="1" applyAlignment="1">
      <alignment vertical="center"/>
    </xf>
    <xf numFmtId="168" fontId="14" fillId="0" borderId="3" xfId="0" applyNumberFormat="1" applyFont="1" applyBorder="1" applyAlignment="1">
      <alignment vertical="center"/>
    </xf>
    <xf numFmtId="168" fontId="14" fillId="0" borderId="4" xfId="0" applyNumberFormat="1" applyFont="1" applyBorder="1" applyAlignment="1">
      <alignment vertical="center"/>
    </xf>
    <xf numFmtId="168" fontId="14" fillId="0" borderId="3" xfId="0" applyNumberFormat="1" applyFont="1" applyBorder="1" applyAlignment="1">
      <alignment vertical="center" wrapText="1"/>
    </xf>
    <xf numFmtId="168" fontId="14" fillId="0" borderId="4" xfId="0" applyNumberFormat="1" applyFont="1" applyBorder="1" applyAlignment="1">
      <alignment vertical="center" wrapText="1"/>
    </xf>
    <xf numFmtId="1" fontId="9" fillId="7" borderId="4" xfId="0" applyNumberFormat="1" applyFont="1" applyFill="1" applyBorder="1" applyAlignment="1">
      <alignment vertical="center" wrapText="1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9" fillId="7" borderId="4" xfId="0" applyFont="1" applyFill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0" fontId="9" fillId="7" borderId="18" xfId="0" applyFont="1" applyFill="1" applyBorder="1" applyAlignment="1">
      <alignment vertical="center" wrapText="1"/>
    </xf>
    <xf numFmtId="166" fontId="9" fillId="5" borderId="18" xfId="0" applyNumberFormat="1" applyFont="1" applyFill="1" applyBorder="1" applyAlignment="1">
      <alignment vertical="center" wrapText="1"/>
    </xf>
    <xf numFmtId="1" fontId="9" fillId="7" borderId="3" xfId="0" applyNumberFormat="1" applyFont="1" applyFill="1" applyBorder="1" applyAlignment="1">
      <alignment vertical="center" wrapText="1"/>
    </xf>
    <xf numFmtId="0" fontId="2" fillId="0" borderId="0" xfId="0" applyFont="1" applyBorder="1"/>
    <xf numFmtId="168" fontId="9" fillId="5" borderId="4" xfId="0" applyNumberFormat="1" applyFont="1" applyFill="1" applyBorder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vertical="center" wrapText="1"/>
    </xf>
    <xf numFmtId="0" fontId="9" fillId="2" borderId="18" xfId="0" applyFont="1" applyFill="1" applyBorder="1" applyAlignment="1">
      <alignment horizontal="center" vertical="center"/>
    </xf>
    <xf numFmtId="168" fontId="9" fillId="7" borderId="3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168" fontId="2" fillId="0" borderId="0" xfId="0" applyNumberFormat="1" applyFont="1"/>
    <xf numFmtId="0" fontId="2" fillId="0" borderId="0" xfId="0" applyFont="1" applyBorder="1" applyAlignment="1">
      <alignment wrapText="1"/>
    </xf>
    <xf numFmtId="3" fontId="9" fillId="3" borderId="10" xfId="0" applyNumberFormat="1" applyFont="1" applyFill="1" applyBorder="1" applyAlignment="1">
      <alignment vertical="center"/>
    </xf>
    <xf numFmtId="166" fontId="9" fillId="7" borderId="10" xfId="0" applyNumberFormat="1" applyFont="1" applyFill="1" applyBorder="1" applyAlignment="1">
      <alignment horizontal="right" vertical="center"/>
    </xf>
    <xf numFmtId="168" fontId="9" fillId="4" borderId="10" xfId="0" applyNumberFormat="1" applyFont="1" applyFill="1" applyBorder="1" applyAlignment="1">
      <alignment vertical="center"/>
    </xf>
    <xf numFmtId="168" fontId="9" fillId="8" borderId="10" xfId="0" applyNumberFormat="1" applyFont="1" applyFill="1" applyBorder="1" applyAlignment="1">
      <alignment horizontal="right" vertical="center"/>
    </xf>
    <xf numFmtId="3" fontId="9" fillId="0" borderId="10" xfId="0" applyNumberFormat="1" applyFont="1" applyFill="1" applyBorder="1" applyAlignment="1">
      <alignment vertical="center"/>
    </xf>
    <xf numFmtId="168" fontId="9" fillId="4" borderId="10" xfId="0" applyNumberFormat="1" applyFont="1" applyFill="1" applyBorder="1" applyAlignment="1">
      <alignment horizontal="right" vertical="center"/>
    </xf>
    <xf numFmtId="168" fontId="9" fillId="3" borderId="10" xfId="0" applyNumberFormat="1" applyFont="1" applyFill="1" applyBorder="1" applyAlignment="1">
      <alignment vertical="center"/>
    </xf>
    <xf numFmtId="168" fontId="9" fillId="5" borderId="10" xfId="0" applyNumberFormat="1" applyFont="1" applyFill="1" applyBorder="1" applyAlignment="1">
      <alignment vertical="center" wrapText="1"/>
    </xf>
    <xf numFmtId="3" fontId="9" fillId="7" borderId="10" xfId="0" applyNumberFormat="1" applyFont="1" applyFill="1" applyBorder="1" applyAlignment="1">
      <alignment vertical="center" wrapText="1"/>
    </xf>
    <xf numFmtId="1" fontId="9" fillId="7" borderId="10" xfId="0" applyNumberFormat="1" applyFont="1" applyFill="1" applyBorder="1" applyAlignment="1">
      <alignment vertical="center" wrapText="1"/>
    </xf>
    <xf numFmtId="168" fontId="14" fillId="0" borderId="10" xfId="0" applyNumberFormat="1" applyFont="1" applyBorder="1" applyAlignment="1">
      <alignment vertical="center"/>
    </xf>
    <xf numFmtId="168" fontId="14" fillId="0" borderId="10" xfId="0" applyNumberFormat="1" applyFont="1" applyBorder="1" applyAlignment="1">
      <alignment vertical="center" wrapText="1"/>
    </xf>
    <xf numFmtId="166" fontId="9" fillId="9" borderId="4" xfId="0" applyNumberFormat="1" applyFont="1" applyFill="1" applyBorder="1" applyAlignment="1">
      <alignment horizontal="right" vertical="center"/>
    </xf>
    <xf numFmtId="168" fontId="9" fillId="5" borderId="3" xfId="0" applyNumberFormat="1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 wrapText="1"/>
    </xf>
    <xf numFmtId="0" fontId="9" fillId="7" borderId="10" xfId="0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vertical="center" wrapText="1"/>
    </xf>
    <xf numFmtId="2" fontId="2" fillId="0" borderId="10" xfId="2" applyNumberFormat="1" applyFont="1" applyFill="1" applyBorder="1" applyAlignment="1">
      <alignment vertical="center" wrapText="1"/>
    </xf>
    <xf numFmtId="167" fontId="9" fillId="5" borderId="10" xfId="0" applyNumberFormat="1" applyFont="1" applyFill="1" applyBorder="1" applyAlignment="1">
      <alignment vertical="center" wrapText="1"/>
    </xf>
    <xf numFmtId="0" fontId="9" fillId="5" borderId="10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left" vertical="center"/>
    </xf>
    <xf numFmtId="168" fontId="18" fillId="6" borderId="3" xfId="0" applyNumberFormat="1" applyFont="1" applyFill="1" applyBorder="1" applyAlignment="1">
      <alignment horizontal="right" vertical="center" wrapText="1"/>
    </xf>
    <xf numFmtId="168" fontId="18" fillId="6" borderId="4" xfId="0" applyNumberFormat="1" applyFont="1" applyFill="1" applyBorder="1" applyAlignment="1">
      <alignment horizontal="right" vertical="center" wrapText="1"/>
    </xf>
    <xf numFmtId="168" fontId="18" fillId="6" borderId="10" xfId="0" applyNumberFormat="1" applyFont="1" applyFill="1" applyBorder="1" applyAlignment="1">
      <alignment horizontal="right" vertical="center" wrapText="1"/>
    </xf>
    <xf numFmtId="0" fontId="18" fillId="6" borderId="11" xfId="0" applyFont="1" applyFill="1" applyBorder="1" applyAlignment="1">
      <alignment horizontal="left" vertical="center"/>
    </xf>
    <xf numFmtId="168" fontId="18" fillId="6" borderId="5" xfId="0" applyNumberFormat="1" applyFont="1" applyFill="1" applyBorder="1" applyAlignment="1">
      <alignment horizontal="right" vertical="center" wrapText="1"/>
    </xf>
    <xf numFmtId="168" fontId="18" fillId="6" borderId="6" xfId="0" applyNumberFormat="1" applyFont="1" applyFill="1" applyBorder="1" applyAlignment="1">
      <alignment horizontal="right" vertical="center" wrapText="1"/>
    </xf>
    <xf numFmtId="168" fontId="18" fillId="6" borderId="11" xfId="0" applyNumberFormat="1" applyFont="1" applyFill="1" applyBorder="1" applyAlignment="1">
      <alignment horizontal="righ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69" fontId="2" fillId="0" borderId="0" xfId="0" applyNumberFormat="1" applyFont="1"/>
    <xf numFmtId="0" fontId="14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9" fillId="3" borderId="18" xfId="0" applyFont="1" applyFill="1" applyBorder="1" applyAlignment="1">
      <alignment vertical="center" wrapText="1"/>
    </xf>
    <xf numFmtId="3" fontId="9" fillId="3" borderId="33" xfId="0" applyNumberFormat="1" applyFont="1" applyFill="1" applyBorder="1" applyAlignment="1">
      <alignment vertical="center"/>
    </xf>
    <xf numFmtId="3" fontId="9" fillId="3" borderId="34" xfId="0" applyNumberFormat="1" applyFont="1" applyFill="1" applyBorder="1" applyAlignment="1">
      <alignment vertical="center"/>
    </xf>
    <xf numFmtId="3" fontId="9" fillId="3" borderId="18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166" fontId="9" fillId="7" borderId="33" xfId="0" applyNumberFormat="1" applyFont="1" applyFill="1" applyBorder="1" applyAlignment="1">
      <alignment horizontal="right" vertical="center"/>
    </xf>
    <xf numFmtId="166" fontId="9" fillId="7" borderId="34" xfId="0" applyNumberFormat="1" applyFont="1" applyFill="1" applyBorder="1" applyAlignment="1">
      <alignment horizontal="right" vertical="center"/>
    </xf>
    <xf numFmtId="166" fontId="9" fillId="7" borderId="18" xfId="0" applyNumberFormat="1" applyFont="1" applyFill="1" applyBorder="1" applyAlignment="1">
      <alignment horizontal="right" vertical="center"/>
    </xf>
    <xf numFmtId="0" fontId="9" fillId="4" borderId="18" xfId="0" applyFont="1" applyFill="1" applyBorder="1" applyAlignment="1">
      <alignment vertical="center" wrapText="1"/>
    </xf>
    <xf numFmtId="168" fontId="9" fillId="4" borderId="33" xfId="0" applyNumberFormat="1" applyFont="1" applyFill="1" applyBorder="1" applyAlignment="1">
      <alignment vertical="center"/>
    </xf>
    <xf numFmtId="168" fontId="9" fillId="4" borderId="34" xfId="0" applyNumberFormat="1" applyFont="1" applyFill="1" applyBorder="1" applyAlignment="1">
      <alignment vertical="center"/>
    </xf>
    <xf numFmtId="168" fontId="9" fillId="4" borderId="18" xfId="0" applyNumberFormat="1" applyFont="1" applyFill="1" applyBorder="1" applyAlignment="1">
      <alignment vertical="center"/>
    </xf>
    <xf numFmtId="0" fontId="9" fillId="8" borderId="18" xfId="0" applyFont="1" applyFill="1" applyBorder="1" applyAlignment="1">
      <alignment vertical="center" wrapText="1"/>
    </xf>
    <xf numFmtId="168" fontId="9" fillId="8" borderId="33" xfId="0" applyNumberFormat="1" applyFont="1" applyFill="1" applyBorder="1" applyAlignment="1">
      <alignment horizontal="right" vertical="center"/>
    </xf>
    <xf numFmtId="168" fontId="9" fillId="8" borderId="34" xfId="0" applyNumberFormat="1" applyFont="1" applyFill="1" applyBorder="1" applyAlignment="1">
      <alignment horizontal="right" vertical="center"/>
    </xf>
    <xf numFmtId="168" fontId="9" fillId="8" borderId="18" xfId="0" applyNumberFormat="1" applyFont="1" applyFill="1" applyBorder="1" applyAlignment="1">
      <alignment horizontal="right" vertical="center"/>
    </xf>
    <xf numFmtId="2" fontId="2" fillId="0" borderId="18" xfId="2" applyNumberFormat="1" applyFont="1" applyFill="1" applyBorder="1" applyAlignment="1">
      <alignment vertical="center" wrapText="1"/>
    </xf>
    <xf numFmtId="3" fontId="9" fillId="0" borderId="33" xfId="0" applyNumberFormat="1" applyFont="1" applyFill="1" applyBorder="1" applyAlignment="1">
      <alignment vertical="center"/>
    </xf>
    <xf numFmtId="3" fontId="9" fillId="0" borderId="34" xfId="0" applyNumberFormat="1" applyFont="1" applyFill="1" applyBorder="1" applyAlignment="1">
      <alignment vertical="center"/>
    </xf>
    <xf numFmtId="3" fontId="9" fillId="0" borderId="18" xfId="0" applyNumberFormat="1" applyFont="1" applyFill="1" applyBorder="1" applyAlignment="1">
      <alignment vertical="center"/>
    </xf>
    <xf numFmtId="0" fontId="9" fillId="7" borderId="33" xfId="0" applyFont="1" applyFill="1" applyBorder="1" applyAlignment="1">
      <alignment vertical="center" wrapText="1"/>
    </xf>
    <xf numFmtId="168" fontId="9" fillId="4" borderId="33" xfId="0" applyNumberFormat="1" applyFont="1" applyFill="1" applyBorder="1" applyAlignment="1">
      <alignment horizontal="right" vertical="center"/>
    </xf>
    <xf numFmtId="166" fontId="9" fillId="7" borderId="33" xfId="0" applyNumberFormat="1" applyFont="1" applyFill="1" applyBorder="1" applyAlignment="1">
      <alignment vertical="center"/>
    </xf>
    <xf numFmtId="168" fontId="9" fillId="4" borderId="34" xfId="0" applyNumberFormat="1" applyFont="1" applyFill="1" applyBorder="1" applyAlignment="1">
      <alignment horizontal="right" vertical="center"/>
    </xf>
    <xf numFmtId="168" fontId="9" fillId="4" borderId="18" xfId="0" applyNumberFormat="1" applyFont="1" applyFill="1" applyBorder="1" applyAlignment="1">
      <alignment horizontal="right" vertical="center"/>
    </xf>
    <xf numFmtId="168" fontId="9" fillId="7" borderId="33" xfId="0" applyNumberFormat="1" applyFont="1" applyFill="1" applyBorder="1" applyAlignment="1">
      <alignment vertical="center" wrapText="1"/>
    </xf>
    <xf numFmtId="168" fontId="9" fillId="8" borderId="33" xfId="0" applyNumberFormat="1" applyFont="1" applyFill="1" applyBorder="1" applyAlignment="1">
      <alignment vertical="center"/>
    </xf>
    <xf numFmtId="168" fontId="9" fillId="3" borderId="33" xfId="0" applyNumberFormat="1" applyFont="1" applyFill="1" applyBorder="1" applyAlignment="1">
      <alignment vertical="center"/>
    </xf>
    <xf numFmtId="168" fontId="9" fillId="3" borderId="34" xfId="0" applyNumberFormat="1" applyFont="1" applyFill="1" applyBorder="1" applyAlignment="1">
      <alignment vertical="center"/>
    </xf>
    <xf numFmtId="168" fontId="9" fillId="3" borderId="18" xfId="0" applyNumberFormat="1" applyFont="1" applyFill="1" applyBorder="1" applyAlignment="1">
      <alignment vertical="center"/>
    </xf>
    <xf numFmtId="167" fontId="9" fillId="5" borderId="18" xfId="0" applyNumberFormat="1" applyFont="1" applyFill="1" applyBorder="1" applyAlignment="1">
      <alignment vertical="center" wrapText="1"/>
    </xf>
    <xf numFmtId="168" fontId="9" fillId="5" borderId="33" xfId="0" applyNumberFormat="1" applyFont="1" applyFill="1" applyBorder="1" applyAlignment="1">
      <alignment vertical="center" wrapText="1"/>
    </xf>
    <xf numFmtId="168" fontId="9" fillId="5" borderId="34" xfId="0" applyNumberFormat="1" applyFont="1" applyFill="1" applyBorder="1" applyAlignment="1">
      <alignment vertical="center" wrapText="1"/>
    </xf>
    <xf numFmtId="168" fontId="9" fillId="5" borderId="18" xfId="0" applyNumberFormat="1" applyFont="1" applyFill="1" applyBorder="1" applyAlignment="1">
      <alignment vertical="center" wrapText="1"/>
    </xf>
    <xf numFmtId="3" fontId="9" fillId="7" borderId="33" xfId="0" applyNumberFormat="1" applyFont="1" applyFill="1" applyBorder="1" applyAlignment="1">
      <alignment vertical="center" wrapText="1"/>
    </xf>
    <xf numFmtId="3" fontId="9" fillId="7" borderId="34" xfId="0" applyNumberFormat="1" applyFont="1" applyFill="1" applyBorder="1" applyAlignment="1">
      <alignment vertical="center" wrapText="1"/>
    </xf>
    <xf numFmtId="3" fontId="9" fillId="7" borderId="18" xfId="0" applyNumberFormat="1" applyFont="1" applyFill="1" applyBorder="1" applyAlignment="1">
      <alignment vertical="center" wrapText="1"/>
    </xf>
    <xf numFmtId="3" fontId="9" fillId="7" borderId="1" xfId="0" applyNumberFormat="1" applyFont="1" applyFill="1" applyBorder="1" applyAlignment="1">
      <alignment vertical="center" wrapText="1"/>
    </xf>
    <xf numFmtId="1" fontId="9" fillId="7" borderId="33" xfId="0" applyNumberFormat="1" applyFont="1" applyFill="1" applyBorder="1" applyAlignment="1">
      <alignment vertical="center" wrapText="1"/>
    </xf>
    <xf numFmtId="1" fontId="9" fillId="7" borderId="34" xfId="0" applyNumberFormat="1" applyFont="1" applyFill="1" applyBorder="1" applyAlignment="1">
      <alignment vertical="center" wrapText="1"/>
    </xf>
    <xf numFmtId="1" fontId="9" fillId="7" borderId="18" xfId="0" applyNumberFormat="1" applyFont="1" applyFill="1" applyBorder="1" applyAlignment="1">
      <alignment vertical="center" wrapText="1"/>
    </xf>
    <xf numFmtId="168" fontId="9" fillId="4" borderId="1" xfId="0" applyNumberFormat="1" applyFont="1" applyFill="1" applyBorder="1" applyAlignment="1">
      <alignment vertical="center"/>
    </xf>
    <xf numFmtId="0" fontId="9" fillId="5" borderId="18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horizontal="left" vertical="center" wrapText="1"/>
    </xf>
    <xf numFmtId="168" fontId="14" fillId="0" borderId="33" xfId="0" applyNumberFormat="1" applyFont="1" applyBorder="1" applyAlignment="1">
      <alignment vertical="center"/>
    </xf>
    <xf numFmtId="168" fontId="14" fillId="0" borderId="34" xfId="0" applyNumberFormat="1" applyFont="1" applyBorder="1" applyAlignment="1">
      <alignment vertical="center"/>
    </xf>
    <xf numFmtId="168" fontId="14" fillId="0" borderId="18" xfId="0" applyNumberFormat="1" applyFont="1" applyBorder="1" applyAlignment="1">
      <alignment vertical="center"/>
    </xf>
    <xf numFmtId="168" fontId="14" fillId="0" borderId="33" xfId="0" applyNumberFormat="1" applyFont="1" applyBorder="1" applyAlignment="1">
      <alignment vertical="center" wrapText="1"/>
    </xf>
    <xf numFmtId="168" fontId="14" fillId="0" borderId="34" xfId="0" applyNumberFormat="1" applyFont="1" applyBorder="1" applyAlignment="1">
      <alignment vertical="center" wrapText="1"/>
    </xf>
    <xf numFmtId="168" fontId="14" fillId="0" borderId="18" xfId="0" applyNumberFormat="1" applyFont="1" applyBorder="1" applyAlignment="1">
      <alignment vertical="center" wrapText="1"/>
    </xf>
    <xf numFmtId="0" fontId="18" fillId="6" borderId="18" xfId="0" applyFont="1" applyFill="1" applyBorder="1" applyAlignment="1">
      <alignment horizontal="left" vertical="center"/>
    </xf>
    <xf numFmtId="168" fontId="18" fillId="6" borderId="33" xfId="0" applyNumberFormat="1" applyFont="1" applyFill="1" applyBorder="1" applyAlignment="1">
      <alignment horizontal="right" vertical="center" wrapText="1"/>
    </xf>
    <xf numFmtId="168" fontId="18" fillId="6" borderId="34" xfId="0" applyNumberFormat="1" applyFont="1" applyFill="1" applyBorder="1" applyAlignment="1">
      <alignment horizontal="right" vertical="center" wrapText="1"/>
    </xf>
    <xf numFmtId="168" fontId="18" fillId="6" borderId="18" xfId="0" applyNumberFormat="1" applyFont="1" applyFill="1" applyBorder="1" applyAlignment="1">
      <alignment horizontal="right" vertical="center" wrapText="1"/>
    </xf>
    <xf numFmtId="0" fontId="18" fillId="6" borderId="19" xfId="0" applyFont="1" applyFill="1" applyBorder="1" applyAlignment="1">
      <alignment horizontal="left" vertical="center"/>
    </xf>
    <xf numFmtId="168" fontId="18" fillId="6" borderId="28" xfId="0" applyNumberFormat="1" applyFont="1" applyFill="1" applyBorder="1" applyAlignment="1">
      <alignment horizontal="right" vertical="center" wrapText="1"/>
    </xf>
    <xf numFmtId="168" fontId="18" fillId="6" borderId="35" xfId="0" applyNumberFormat="1" applyFont="1" applyFill="1" applyBorder="1" applyAlignment="1">
      <alignment horizontal="right" vertical="center" wrapText="1"/>
    </xf>
    <xf numFmtId="168" fontId="18" fillId="6" borderId="19" xfId="0" applyNumberFormat="1" applyFont="1" applyFill="1" applyBorder="1" applyAlignment="1">
      <alignment horizontal="right" vertical="center" wrapText="1"/>
    </xf>
    <xf numFmtId="168" fontId="18" fillId="6" borderId="36" xfId="0" applyNumberFormat="1" applyFont="1" applyFill="1" applyBorder="1" applyAlignment="1">
      <alignment horizontal="right" vertical="center" wrapText="1"/>
    </xf>
    <xf numFmtId="168" fontId="18" fillId="6" borderId="37" xfId="0" applyNumberFormat="1" applyFont="1" applyFill="1" applyBorder="1" applyAlignment="1">
      <alignment horizontal="right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168" fontId="9" fillId="5" borderId="33" xfId="0" applyNumberFormat="1" applyFont="1" applyFill="1" applyBorder="1" applyAlignment="1">
      <alignment vertical="center"/>
    </xf>
    <xf numFmtId="9" fontId="2" fillId="0" borderId="0" xfId="1" applyFont="1" applyFill="1"/>
    <xf numFmtId="0" fontId="14" fillId="0" borderId="2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" fontId="9" fillId="4" borderId="20" xfId="0" applyNumberFormat="1" applyFont="1" applyFill="1" applyBorder="1" applyAlignment="1">
      <alignment horizontal="center" vertical="center"/>
    </xf>
    <xf numFmtId="16" fontId="9" fillId="4" borderId="16" xfId="0" applyNumberFormat="1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14" fillId="9" borderId="22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14" fillId="9" borderId="0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8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4" fillId="9" borderId="10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3" xfId="3"/>
    <cellStyle name="Обычный 4" xfId="2"/>
    <cellStyle name="Процентный" xfId="1" builtinId="5"/>
    <cellStyle name="Финансовый 2" xfId="5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C68"/>
  <sheetViews>
    <sheetView view="pageBreakPreview" zoomScale="80" zoomScaleNormal="100" zoomScaleSheetLayoutView="80" workbookViewId="0">
      <pane xSplit="2" ySplit="10" topLeftCell="C56" activePane="bottomRight" state="frozen"/>
      <selection pane="topRight" activeCell="C1" sqref="C1"/>
      <selection pane="bottomLeft" activeCell="A8" sqref="A8"/>
      <selection pane="bottomRight" activeCell="M63" sqref="M63"/>
    </sheetView>
  </sheetViews>
  <sheetFormatPr defaultRowHeight="15" outlineLevelRow="2" x14ac:dyDescent="0.25"/>
  <cols>
    <col min="1" max="1" width="9.5703125" style="1" customWidth="1"/>
    <col min="2" max="2" width="59.5703125" style="1" customWidth="1"/>
    <col min="3" max="3" width="21" style="1" customWidth="1"/>
    <col min="4" max="4" width="21.42578125" style="1" customWidth="1"/>
    <col min="5" max="5" width="21" style="1" customWidth="1"/>
    <col min="6" max="7" width="20.7109375" style="1" customWidth="1"/>
    <col min="8" max="8" width="21.140625" style="1" customWidth="1"/>
    <col min="9" max="9" width="23.42578125" style="1" bestFit="1" customWidth="1"/>
    <col min="10" max="13" width="23.42578125" style="1" customWidth="1"/>
    <col min="14" max="14" width="24.140625" style="1" customWidth="1"/>
    <col min="15" max="15" width="22.7109375" style="1" customWidth="1"/>
    <col min="16" max="17" width="16.140625" style="1" bestFit="1" customWidth="1"/>
    <col min="18" max="18" width="25.5703125" style="1" customWidth="1"/>
    <col min="19" max="19" width="38" style="1" bestFit="1" customWidth="1"/>
    <col min="20" max="20" width="14.85546875" style="1" customWidth="1"/>
    <col min="21" max="21" width="13" style="1" customWidth="1"/>
    <col min="22" max="22" width="16.28515625" style="1" customWidth="1"/>
    <col min="23" max="23" width="14.85546875" style="1" customWidth="1"/>
    <col min="24" max="24" width="17.28515625" style="1" customWidth="1"/>
    <col min="25" max="25" width="15.85546875" style="1" customWidth="1"/>
    <col min="26" max="26" width="14.85546875" style="1" customWidth="1"/>
    <col min="27" max="16384" width="9.140625" style="1"/>
  </cols>
  <sheetData>
    <row r="1" spans="1:22" ht="36" customHeight="1" x14ac:dyDescent="0.25">
      <c r="F1" s="206" t="s">
        <v>78</v>
      </c>
      <c r="G1" s="206"/>
      <c r="H1" s="206"/>
      <c r="I1" s="206"/>
      <c r="J1" s="206"/>
      <c r="K1" s="206"/>
      <c r="L1" s="206"/>
      <c r="M1" s="206"/>
      <c r="N1" s="84"/>
      <c r="O1" s="82"/>
    </row>
    <row r="2" spans="1:22" x14ac:dyDescent="0.25">
      <c r="D2" s="83"/>
      <c r="F2" s="30" t="s">
        <v>67</v>
      </c>
      <c r="G2" s="30" t="s">
        <v>68</v>
      </c>
      <c r="H2" s="30" t="s">
        <v>69</v>
      </c>
      <c r="I2" s="30" t="s">
        <v>70</v>
      </c>
      <c r="J2" s="30" t="s">
        <v>71</v>
      </c>
      <c r="K2" s="30" t="s">
        <v>72</v>
      </c>
      <c r="L2" s="30" t="s">
        <v>77</v>
      </c>
      <c r="M2" s="30" t="s">
        <v>79</v>
      </c>
      <c r="O2" s="71"/>
    </row>
    <row r="3" spans="1:22" x14ac:dyDescent="0.25">
      <c r="D3" s="8"/>
      <c r="F3" s="29">
        <v>1.0509999999999999</v>
      </c>
      <c r="G3" s="29">
        <v>1.0509999999999999</v>
      </c>
      <c r="H3" s="29">
        <v>1.0589999999999999</v>
      </c>
      <c r="I3" s="29">
        <v>1.0529999999999999</v>
      </c>
      <c r="J3" s="29">
        <v>1.048</v>
      </c>
      <c r="K3" s="29">
        <v>1.048</v>
      </c>
      <c r="L3" s="30">
        <v>1.048</v>
      </c>
      <c r="M3" s="30">
        <v>1.048</v>
      </c>
      <c r="O3" s="71"/>
      <c r="P3" s="71"/>
      <c r="Q3" s="71"/>
      <c r="R3" s="71"/>
      <c r="S3" s="71"/>
      <c r="T3" s="71"/>
      <c r="U3" s="71"/>
      <c r="V3" s="71"/>
    </row>
    <row r="4" spans="1:22" ht="20.25" x14ac:dyDescent="0.3">
      <c r="B4" s="2"/>
      <c r="D4" s="83"/>
      <c r="F4" s="8">
        <v>466.42667238000001</v>
      </c>
      <c r="G4" s="8"/>
      <c r="H4" s="8"/>
      <c r="I4" s="8"/>
      <c r="J4" s="8"/>
      <c r="K4" s="8"/>
      <c r="L4" s="8"/>
      <c r="M4" s="8"/>
      <c r="N4" s="3"/>
      <c r="O4" s="27"/>
      <c r="P4" s="71"/>
      <c r="Q4" s="71"/>
      <c r="R4" s="71"/>
      <c r="S4" s="71"/>
      <c r="T4" s="71"/>
      <c r="U4" s="71"/>
      <c r="V4" s="71"/>
    </row>
    <row r="5" spans="1:22" x14ac:dyDescent="0.25">
      <c r="D5" s="8"/>
      <c r="F5" s="8">
        <f>F4-F63</f>
        <v>5.8898100000419618E-3</v>
      </c>
      <c r="H5" s="8"/>
      <c r="J5" s="8"/>
      <c r="K5" s="8"/>
      <c r="L5" s="8"/>
      <c r="M5" s="8"/>
      <c r="P5" s="81"/>
      <c r="Q5" s="81"/>
      <c r="R5" s="81"/>
      <c r="S5" s="81"/>
      <c r="T5" s="81"/>
      <c r="U5" s="71"/>
      <c r="V5" s="71"/>
    </row>
    <row r="6" spans="1:22" ht="20.25" x14ac:dyDescent="0.25">
      <c r="A6" s="210" t="s">
        <v>80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P6" s="71"/>
      <c r="Q6" s="71"/>
      <c r="R6" s="71"/>
      <c r="S6" s="71"/>
      <c r="T6" s="71"/>
      <c r="U6" s="71"/>
      <c r="V6" s="71"/>
    </row>
    <row r="7" spans="1:22" ht="16.5" thickBot="1" x14ac:dyDescent="0.3">
      <c r="N7" s="4"/>
      <c r="P7" s="71"/>
      <c r="Q7" s="71"/>
      <c r="R7" s="71"/>
      <c r="S7" s="71"/>
      <c r="T7" s="71"/>
      <c r="U7" s="71"/>
      <c r="V7" s="71"/>
    </row>
    <row r="8" spans="1:22" ht="15.75" customHeight="1" x14ac:dyDescent="0.25">
      <c r="A8" s="211" t="s">
        <v>8</v>
      </c>
      <c r="B8" s="214" t="s">
        <v>7</v>
      </c>
      <c r="C8" s="202">
        <v>2023</v>
      </c>
      <c r="D8" s="203"/>
      <c r="E8" s="194">
        <v>2024</v>
      </c>
      <c r="F8" s="195"/>
      <c r="G8" s="198">
        <v>2025</v>
      </c>
      <c r="H8" s="195"/>
      <c r="I8" s="198">
        <v>2026</v>
      </c>
      <c r="J8" s="194"/>
      <c r="K8" s="202">
        <v>2027</v>
      </c>
      <c r="L8" s="203"/>
      <c r="M8" s="207">
        <v>2028</v>
      </c>
      <c r="N8" s="198" t="s">
        <v>0</v>
      </c>
      <c r="O8" s="195"/>
      <c r="P8" s="71"/>
      <c r="Q8" s="71"/>
      <c r="R8" s="71"/>
      <c r="S8" s="71"/>
      <c r="T8" s="71"/>
      <c r="U8" s="71"/>
      <c r="V8" s="71"/>
    </row>
    <row r="9" spans="1:22" ht="15.75" customHeight="1" thickBot="1" x14ac:dyDescent="0.3">
      <c r="A9" s="212"/>
      <c r="B9" s="215"/>
      <c r="C9" s="204"/>
      <c r="D9" s="205"/>
      <c r="E9" s="196"/>
      <c r="F9" s="197"/>
      <c r="G9" s="199"/>
      <c r="H9" s="197"/>
      <c r="I9" s="200"/>
      <c r="J9" s="201"/>
      <c r="K9" s="204"/>
      <c r="L9" s="205"/>
      <c r="M9" s="208"/>
      <c r="N9" s="199"/>
      <c r="O9" s="197"/>
      <c r="P9" s="71"/>
      <c r="Q9" s="71"/>
      <c r="R9" s="71"/>
      <c r="S9" s="71"/>
      <c r="T9" s="71"/>
      <c r="U9" s="71"/>
      <c r="V9" s="71"/>
    </row>
    <row r="10" spans="1:22" ht="16.5" thickBot="1" x14ac:dyDescent="0.3">
      <c r="A10" s="213"/>
      <c r="B10" s="216"/>
      <c r="C10" s="99" t="s">
        <v>19</v>
      </c>
      <c r="D10" s="100" t="s">
        <v>20</v>
      </c>
      <c r="E10" s="99" t="s">
        <v>19</v>
      </c>
      <c r="F10" s="100" t="s">
        <v>20</v>
      </c>
      <c r="G10" s="99" t="s">
        <v>19</v>
      </c>
      <c r="H10" s="100" t="s">
        <v>20</v>
      </c>
      <c r="I10" s="99" t="s">
        <v>19</v>
      </c>
      <c r="J10" s="100" t="s">
        <v>20</v>
      </c>
      <c r="K10" s="99" t="s">
        <v>19</v>
      </c>
      <c r="L10" s="100" t="s">
        <v>20</v>
      </c>
      <c r="M10" s="209"/>
      <c r="N10" s="110" t="s">
        <v>19</v>
      </c>
      <c r="O10" s="111" t="s">
        <v>20</v>
      </c>
    </row>
    <row r="11" spans="1:22" x14ac:dyDescent="0.25">
      <c r="A11" s="73">
        <v>1</v>
      </c>
      <c r="B11" s="67">
        <v>2</v>
      </c>
      <c r="C11" s="31">
        <v>5</v>
      </c>
      <c r="D11" s="32">
        <v>7</v>
      </c>
      <c r="E11" s="31">
        <v>9</v>
      </c>
      <c r="F11" s="32">
        <v>10</v>
      </c>
      <c r="G11" s="31">
        <v>11</v>
      </c>
      <c r="H11" s="32">
        <v>12</v>
      </c>
      <c r="I11" s="31">
        <v>13</v>
      </c>
      <c r="J11" s="32">
        <v>14</v>
      </c>
      <c r="K11" s="31">
        <v>15</v>
      </c>
      <c r="L11" s="32">
        <v>16</v>
      </c>
      <c r="M11" s="109">
        <v>17</v>
      </c>
      <c r="N11" s="31">
        <v>18</v>
      </c>
      <c r="O11" s="32">
        <v>19</v>
      </c>
      <c r="P11" s="62"/>
      <c r="Q11" s="63" t="s">
        <v>83</v>
      </c>
      <c r="R11" s="63" t="s">
        <v>82</v>
      </c>
      <c r="S11" s="63" t="s">
        <v>84</v>
      </c>
      <c r="T11" s="63"/>
    </row>
    <row r="12" spans="1:22" ht="15.75" x14ac:dyDescent="0.25">
      <c r="A12" s="74" t="s">
        <v>11</v>
      </c>
      <c r="B12" s="101" t="s">
        <v>22</v>
      </c>
      <c r="C12" s="33">
        <v>48499</v>
      </c>
      <c r="D12" s="34">
        <v>45265</v>
      </c>
      <c r="E12" s="33">
        <v>26242</v>
      </c>
      <c r="F12" s="34">
        <v>24868</v>
      </c>
      <c r="G12" s="33">
        <v>33462</v>
      </c>
      <c r="H12" s="34">
        <f>32616+380</f>
        <v>32996</v>
      </c>
      <c r="I12" s="33">
        <v>91622</v>
      </c>
      <c r="J12" s="34">
        <f>91532+380</f>
        <v>91912</v>
      </c>
      <c r="K12" s="33">
        <v>51804</v>
      </c>
      <c r="L12" s="34">
        <f>50609+380</f>
        <v>50989</v>
      </c>
      <c r="M12" s="85">
        <f>66166+380</f>
        <v>66546</v>
      </c>
      <c r="N12" s="33">
        <f>C12+E12+G12+I12+K12</f>
        <v>251629</v>
      </c>
      <c r="O12" s="34">
        <f>D12+F12+H12+J12+L12+M12</f>
        <v>312576</v>
      </c>
      <c r="P12" s="62"/>
      <c r="Q12" s="62">
        <f>R12-O12</f>
        <v>0</v>
      </c>
      <c r="R12" s="62">
        <v>312576</v>
      </c>
      <c r="S12" s="62">
        <v>1520</v>
      </c>
      <c r="T12" s="62"/>
    </row>
    <row r="13" spans="1:22" ht="31.5" outlineLevel="1" x14ac:dyDescent="0.25">
      <c r="A13" s="75"/>
      <c r="B13" s="102" t="s">
        <v>40</v>
      </c>
      <c r="C13" s="35">
        <v>8.0773000000000008E-3</v>
      </c>
      <c r="D13" s="97">
        <v>1.21044E-2</v>
      </c>
      <c r="E13" s="35">
        <v>8.4569299999999997E-3</v>
      </c>
      <c r="F13" s="36">
        <f>ROUND(D13*$I$3,8)</f>
        <v>1.2745930000000001E-2</v>
      </c>
      <c r="G13" s="35">
        <v>8.8544100000000001E-3</v>
      </c>
      <c r="H13" s="36">
        <f>ROUND(F13*$J$3,8)</f>
        <v>1.335773E-2</v>
      </c>
      <c r="I13" s="35">
        <v>9.2705700000000005E-3</v>
      </c>
      <c r="J13" s="36">
        <f>ROUND(H13*$K$3,8)</f>
        <v>1.39989E-2</v>
      </c>
      <c r="K13" s="35">
        <v>9.7062899999999994E-3</v>
      </c>
      <c r="L13" s="36">
        <f>ROUND(J13*$L$3,8)</f>
        <v>1.4670849999999999E-2</v>
      </c>
      <c r="M13" s="86">
        <f>ROUND(L13*$M$3,8)</f>
        <v>1.5375049999999999E-2</v>
      </c>
      <c r="N13" s="46"/>
      <c r="O13" s="66"/>
      <c r="P13" s="9"/>
      <c r="Q13" s="10"/>
      <c r="R13" s="7"/>
      <c r="S13" s="7"/>
      <c r="T13" s="7"/>
    </row>
    <row r="14" spans="1:22" ht="39" customHeight="1" collapsed="1" x14ac:dyDescent="0.25">
      <c r="A14" s="219" t="s">
        <v>34</v>
      </c>
      <c r="B14" s="103" t="s">
        <v>43</v>
      </c>
      <c r="C14" s="37">
        <v>391.74097269999999</v>
      </c>
      <c r="D14" s="38">
        <f>ROUND(D13*D12,8)</f>
        <v>547.905666</v>
      </c>
      <c r="E14" s="37">
        <v>221.92675706</v>
      </c>
      <c r="F14" s="38">
        <f>ROUND(F13*F12,8)</f>
        <v>316.96578724</v>
      </c>
      <c r="G14" s="37">
        <v>296.28626742</v>
      </c>
      <c r="H14" s="38">
        <f>ROUND(H13*H12,8)</f>
        <v>440.75165908000002</v>
      </c>
      <c r="I14" s="37">
        <v>849.38816454000005</v>
      </c>
      <c r="J14" s="38">
        <f>ROUND(J13*J12,8)</f>
        <v>1286.6668967999999</v>
      </c>
      <c r="K14" s="37">
        <v>502.82464715999998</v>
      </c>
      <c r="L14" s="38">
        <f>ROUND(L13*L12,8)</f>
        <v>748.05197065000004</v>
      </c>
      <c r="M14" s="87">
        <f>ROUND(M13*M12,8)</f>
        <v>1023.1480773</v>
      </c>
      <c r="N14" s="37">
        <f>C14+E14+G14+I14+K14</f>
        <v>2262.1668088800002</v>
      </c>
      <c r="O14" s="38">
        <f>D14+F14+H14+J14+L14+M14</f>
        <v>4363.4900570700001</v>
      </c>
      <c r="P14" s="9"/>
      <c r="Q14" s="10"/>
      <c r="R14" s="7"/>
      <c r="S14" s="7"/>
      <c r="T14" s="7"/>
    </row>
    <row r="15" spans="1:22" ht="39" customHeight="1" x14ac:dyDescent="0.25">
      <c r="A15" s="220"/>
      <c r="B15" s="104" t="s">
        <v>44</v>
      </c>
      <c r="C15" s="39">
        <v>470.08916723999999</v>
      </c>
      <c r="D15" s="40">
        <f>ROUND(D14*1.2,8)</f>
        <v>657.48679919999995</v>
      </c>
      <c r="E15" s="39">
        <v>266.31210847</v>
      </c>
      <c r="F15" s="40">
        <f>ROUND(F14*1.2,8)</f>
        <v>380.35894468999999</v>
      </c>
      <c r="G15" s="39">
        <v>355.54352089999998</v>
      </c>
      <c r="H15" s="40">
        <f>ROUND(H14*1.2,8)</f>
        <v>528.90199089999999</v>
      </c>
      <c r="I15" s="39">
        <v>1019.26579745</v>
      </c>
      <c r="J15" s="40">
        <f>ROUND(J14*1.2,8)</f>
        <v>1544.0002761600001</v>
      </c>
      <c r="K15" s="39">
        <v>603.38957659000005</v>
      </c>
      <c r="L15" s="40">
        <f>ROUND(L14*1.2,8)</f>
        <v>897.66236477999996</v>
      </c>
      <c r="M15" s="88">
        <f>ROUND(M14*1.2,8)</f>
        <v>1227.77769276</v>
      </c>
      <c r="N15" s="39">
        <f>C15+E15+G15+I15+K15</f>
        <v>2714.6001706500001</v>
      </c>
      <c r="O15" s="40">
        <f>D15+F15+H15+J15+L15+M15</f>
        <v>5236.1880684899998</v>
      </c>
      <c r="P15" s="9"/>
      <c r="Q15" s="10"/>
      <c r="R15" s="7"/>
      <c r="S15" s="7"/>
      <c r="T15" s="7"/>
    </row>
    <row r="16" spans="1:22" ht="15.75" x14ac:dyDescent="0.25">
      <c r="A16" s="74" t="s">
        <v>12</v>
      </c>
      <c r="B16" s="101" t="s">
        <v>21</v>
      </c>
      <c r="C16" s="33">
        <v>6072</v>
      </c>
      <c r="D16" s="34">
        <f>D17+D21</f>
        <v>2270</v>
      </c>
      <c r="E16" s="33">
        <v>1640</v>
      </c>
      <c r="F16" s="34">
        <f>F17+F21</f>
        <v>2667</v>
      </c>
      <c r="G16" s="33">
        <v>2163</v>
      </c>
      <c r="H16" s="34">
        <f>H17+H21</f>
        <v>1963</v>
      </c>
      <c r="I16" s="33">
        <v>3045</v>
      </c>
      <c r="J16" s="34">
        <f>J17+J21</f>
        <v>2773</v>
      </c>
      <c r="K16" s="33">
        <v>2419</v>
      </c>
      <c r="L16" s="34">
        <f>L17+L21</f>
        <v>2366</v>
      </c>
      <c r="M16" s="85">
        <f>M17+M21</f>
        <v>3967</v>
      </c>
      <c r="N16" s="33">
        <f>C16+E16+G16+I16+K16</f>
        <v>15339</v>
      </c>
      <c r="O16" s="34">
        <f>D16+F16+H16+J16+L16+M16</f>
        <v>16006</v>
      </c>
      <c r="P16" s="62"/>
      <c r="Q16" s="63"/>
      <c r="R16" s="63"/>
      <c r="S16" s="63"/>
      <c r="T16" s="63"/>
    </row>
    <row r="17" spans="1:20" s="7" customFormat="1" ht="30" outlineLevel="1" x14ac:dyDescent="0.25">
      <c r="A17" s="76" t="s">
        <v>1</v>
      </c>
      <c r="B17" s="105" t="s">
        <v>36</v>
      </c>
      <c r="C17" s="41">
        <v>4731</v>
      </c>
      <c r="D17" s="42">
        <v>1050</v>
      </c>
      <c r="E17" s="41">
        <v>1015</v>
      </c>
      <c r="F17" s="42">
        <v>2078</v>
      </c>
      <c r="G17" s="41">
        <v>1605</v>
      </c>
      <c r="H17" s="42">
        <v>1426</v>
      </c>
      <c r="I17" s="41">
        <v>2216</v>
      </c>
      <c r="J17" s="42">
        <v>1989</v>
      </c>
      <c r="K17" s="41">
        <v>1241</v>
      </c>
      <c r="L17" s="42">
        <v>1208</v>
      </c>
      <c r="M17" s="89">
        <v>1290</v>
      </c>
      <c r="N17" s="41">
        <f>C17+E17+G17+I17+K17</f>
        <v>10808</v>
      </c>
      <c r="O17" s="42">
        <f>D17+F17+H17+J17+L17+M17</f>
        <v>9041</v>
      </c>
      <c r="P17" s="62"/>
      <c r="Q17" s="62">
        <f>R17-O17</f>
        <v>0</v>
      </c>
      <c r="R17" s="64">
        <v>9041</v>
      </c>
      <c r="S17" s="64"/>
      <c r="T17" s="64"/>
    </row>
    <row r="18" spans="1:20" s="7" customFormat="1" ht="31.5" outlineLevel="2" x14ac:dyDescent="0.25">
      <c r="A18" s="75"/>
      <c r="B18" s="102" t="s">
        <v>40</v>
      </c>
      <c r="C18" s="43">
        <v>1.6784E-2</v>
      </c>
      <c r="D18" s="97">
        <v>2.1429070000000001E-2</v>
      </c>
      <c r="E18" s="43">
        <v>1.7572850000000001E-2</v>
      </c>
      <c r="F18" s="36">
        <f>ROUND(D18*$I$3,8)</f>
        <v>2.2564810000000001E-2</v>
      </c>
      <c r="G18" s="43">
        <v>1.8398769999999998E-2</v>
      </c>
      <c r="H18" s="36">
        <f>ROUND(F18*$J$3,8)</f>
        <v>2.3647919999999999E-2</v>
      </c>
      <c r="I18" s="35">
        <v>1.9263510000000001E-2</v>
      </c>
      <c r="J18" s="36">
        <f>ROUND(H18*$K$3,8)</f>
        <v>2.4783019999999999E-2</v>
      </c>
      <c r="K18" s="35">
        <v>2.0168889999999998E-2</v>
      </c>
      <c r="L18" s="36">
        <f>ROUND(J18*$L$3,8)</f>
        <v>2.5972599999999998E-2</v>
      </c>
      <c r="M18" s="86">
        <f>ROUND(L18*$M$3,8)</f>
        <v>2.7219279999999998E-2</v>
      </c>
      <c r="N18" s="46"/>
      <c r="O18" s="66"/>
      <c r="P18" s="11"/>
      <c r="Q18" s="10"/>
    </row>
    <row r="19" spans="1:20" s="7" customFormat="1" ht="31.5" outlineLevel="2" collapsed="1" x14ac:dyDescent="0.25">
      <c r="A19" s="219"/>
      <c r="B19" s="103" t="s">
        <v>45</v>
      </c>
      <c r="C19" s="44">
        <v>79.405103999999994</v>
      </c>
      <c r="D19" s="38">
        <f>ROUND(D18*D17,8)</f>
        <v>22.5005235</v>
      </c>
      <c r="E19" s="44">
        <v>17.83644275</v>
      </c>
      <c r="F19" s="38">
        <f>ROUND(F18*F17,8)</f>
        <v>46.889675179999998</v>
      </c>
      <c r="G19" s="44">
        <v>29.530025850000001</v>
      </c>
      <c r="H19" s="38">
        <f>ROUND(H18*H17,8)</f>
        <v>33.721933919999998</v>
      </c>
      <c r="I19" s="44">
        <v>42.687938160000002</v>
      </c>
      <c r="J19" s="38">
        <f>ROUND(J18*J17,8)</f>
        <v>49.293426779999997</v>
      </c>
      <c r="K19" s="37">
        <v>25.029592489999999</v>
      </c>
      <c r="L19" s="38">
        <f>ROUND(L18*L17,8)</f>
        <v>31.374900799999999</v>
      </c>
      <c r="M19" s="87">
        <f>ROUND(M18*M17,8)</f>
        <v>35.112871200000001</v>
      </c>
      <c r="N19" s="37">
        <f>C19+E19+G19+I19+K19</f>
        <v>194.48910325</v>
      </c>
      <c r="O19" s="38">
        <f>D19+F19+H19+J19+L19+M19</f>
        <v>218.89333138000001</v>
      </c>
      <c r="P19" s="11"/>
      <c r="Q19" s="10"/>
    </row>
    <row r="20" spans="1:20" s="7" customFormat="1" ht="32.25" customHeight="1" outlineLevel="2" x14ac:dyDescent="0.25">
      <c r="A20" s="220"/>
      <c r="B20" s="104" t="s">
        <v>46</v>
      </c>
      <c r="C20" s="39">
        <v>95.286124799999996</v>
      </c>
      <c r="D20" s="40">
        <f>ROUND(D19*1.2,8)</f>
        <v>27.000628200000001</v>
      </c>
      <c r="E20" s="39">
        <v>21.4037313</v>
      </c>
      <c r="F20" s="40">
        <f>ROUND(F19*1.2,8)</f>
        <v>56.267610220000002</v>
      </c>
      <c r="G20" s="39">
        <v>35.436031020000001</v>
      </c>
      <c r="H20" s="40">
        <f>ROUND(H19*1.2,8)</f>
        <v>40.466320699999997</v>
      </c>
      <c r="I20" s="39">
        <v>51.225525789999999</v>
      </c>
      <c r="J20" s="40">
        <f>ROUND(J19*1.2,8)</f>
        <v>59.15211214</v>
      </c>
      <c r="K20" s="39">
        <v>30.035510989999999</v>
      </c>
      <c r="L20" s="40">
        <f>ROUND(L19*1.2,8)</f>
        <v>37.649880959999997</v>
      </c>
      <c r="M20" s="88">
        <f>ROUND(M19*1.2,8)</f>
        <v>42.135445439999998</v>
      </c>
      <c r="N20" s="56">
        <f>C20+E20+G20+I20+K20</f>
        <v>233.38692390000003</v>
      </c>
      <c r="O20" s="49">
        <f>D20+F20+H20+J20+L20+M20</f>
        <v>262.67199765999999</v>
      </c>
      <c r="P20" s="62"/>
      <c r="Q20" s="63"/>
      <c r="R20" s="63"/>
      <c r="S20" s="63"/>
      <c r="T20" s="63"/>
    </row>
    <row r="21" spans="1:20" s="7" customFormat="1" ht="30" outlineLevel="1" x14ac:dyDescent="0.25">
      <c r="A21" s="76" t="s">
        <v>2</v>
      </c>
      <c r="B21" s="105" t="s">
        <v>37</v>
      </c>
      <c r="C21" s="41">
        <v>1341</v>
      </c>
      <c r="D21" s="42">
        <v>1220</v>
      </c>
      <c r="E21" s="41">
        <v>625</v>
      </c>
      <c r="F21" s="42">
        <v>589</v>
      </c>
      <c r="G21" s="41">
        <v>558</v>
      </c>
      <c r="H21" s="42">
        <v>537</v>
      </c>
      <c r="I21" s="41">
        <v>829</v>
      </c>
      <c r="J21" s="42">
        <v>784</v>
      </c>
      <c r="K21" s="41">
        <v>1178</v>
      </c>
      <c r="L21" s="42">
        <v>1158</v>
      </c>
      <c r="M21" s="89">
        <v>2677</v>
      </c>
      <c r="N21" s="41">
        <f>C21+E21+G21+I21+K21</f>
        <v>4531</v>
      </c>
      <c r="O21" s="42">
        <f>D21+F21+H21+J21+L21+M21</f>
        <v>6965</v>
      </c>
      <c r="P21" s="62"/>
      <c r="Q21" s="62">
        <f>R21-O21</f>
        <v>0</v>
      </c>
      <c r="R21" s="64">
        <v>6965</v>
      </c>
      <c r="S21" s="64"/>
      <c r="T21" s="64"/>
    </row>
    <row r="22" spans="1:20" s="7" customFormat="1" ht="31.5" outlineLevel="2" x14ac:dyDescent="0.25">
      <c r="A22" s="75"/>
      <c r="B22" s="102" t="s">
        <v>40</v>
      </c>
      <c r="C22" s="46">
        <v>1.6784E-2</v>
      </c>
      <c r="D22" s="97">
        <v>2.032202E-2</v>
      </c>
      <c r="E22" s="46">
        <v>1.7572850000000001E-2</v>
      </c>
      <c r="F22" s="36">
        <f>ROUND(D22*$I$3,8)</f>
        <v>2.1399089999999999E-2</v>
      </c>
      <c r="G22" s="46">
        <v>1.8398769999999998E-2</v>
      </c>
      <c r="H22" s="36">
        <f>ROUND(F22*$J$3,8)</f>
        <v>2.2426249999999998E-2</v>
      </c>
      <c r="I22" s="35">
        <v>1.9263510000000001E-2</v>
      </c>
      <c r="J22" s="36">
        <f>ROUND(H22*$K$3,8)</f>
        <v>2.350271E-2</v>
      </c>
      <c r="K22" s="35">
        <v>2.0168889999999998E-2</v>
      </c>
      <c r="L22" s="36">
        <f>ROUND(J22*$L$3,8)</f>
        <v>2.4630840000000001E-2</v>
      </c>
      <c r="M22" s="86">
        <f>ROUND(L22*$M$3,8)</f>
        <v>2.5813119999999998E-2</v>
      </c>
      <c r="N22" s="46"/>
      <c r="O22" s="66"/>
      <c r="P22" s="11"/>
      <c r="Q22" s="10"/>
    </row>
    <row r="23" spans="1:20" s="7" customFormat="1" ht="31.5" outlineLevel="2" collapsed="1" x14ac:dyDescent="0.25">
      <c r="A23" s="219"/>
      <c r="B23" s="103" t="s">
        <v>47</v>
      </c>
      <c r="C23" s="37">
        <v>22.507344</v>
      </c>
      <c r="D23" s="38">
        <f>ROUND(D22*D21,8)</f>
        <v>24.792864399999999</v>
      </c>
      <c r="E23" s="37">
        <v>10.98303125</v>
      </c>
      <c r="F23" s="38">
        <f>ROUND(F22*F21,8)</f>
        <v>12.60406401</v>
      </c>
      <c r="G23" s="44">
        <v>10.266513659999999</v>
      </c>
      <c r="H23" s="38">
        <f>ROUND(H22*H21,8)</f>
        <v>12.04289625</v>
      </c>
      <c r="I23" s="44">
        <v>15.969449790000001</v>
      </c>
      <c r="J23" s="38">
        <f>ROUND(J22*J21,8)</f>
        <v>18.426124640000001</v>
      </c>
      <c r="K23" s="37">
        <v>23.75895242</v>
      </c>
      <c r="L23" s="38">
        <f>ROUND(L22*L21,8)</f>
        <v>28.522512720000002</v>
      </c>
      <c r="M23" s="87">
        <f>ROUND(M22*M21,8)</f>
        <v>69.101722240000001</v>
      </c>
      <c r="N23" s="37">
        <f>C23+E23+G23+I23+K23</f>
        <v>83.485291119999999</v>
      </c>
      <c r="O23" s="38">
        <f>D23+F23+H23+J23+L23+M23</f>
        <v>165.49018425999998</v>
      </c>
      <c r="P23" s="11"/>
      <c r="Q23" s="10"/>
    </row>
    <row r="24" spans="1:20" s="7" customFormat="1" ht="31.5" outlineLevel="2" x14ac:dyDescent="0.25">
      <c r="A24" s="220"/>
      <c r="B24" s="104" t="s">
        <v>48</v>
      </c>
      <c r="C24" s="39">
        <v>27.008812800000001</v>
      </c>
      <c r="D24" s="40">
        <f>ROUND(D23*1.2,8)</f>
        <v>29.751437280000001</v>
      </c>
      <c r="E24" s="39">
        <v>13.1796375</v>
      </c>
      <c r="F24" s="40">
        <f>ROUND(F23*1.2,8)</f>
        <v>15.12487681</v>
      </c>
      <c r="G24" s="39">
        <v>12.31981639</v>
      </c>
      <c r="H24" s="40">
        <f>ROUND(H23*1.2,8)</f>
        <v>14.451475500000001</v>
      </c>
      <c r="I24" s="39">
        <v>19.163339749999999</v>
      </c>
      <c r="J24" s="40">
        <f>ROUND(J23*1.2,8)</f>
        <v>22.111349570000002</v>
      </c>
      <c r="K24" s="39">
        <v>28.5107429</v>
      </c>
      <c r="L24" s="40">
        <f>ROUND(L23*1.2,8)</f>
        <v>34.227015260000002</v>
      </c>
      <c r="M24" s="88">
        <f>ROUND(M23*1.2,8)</f>
        <v>82.922066689999994</v>
      </c>
      <c r="N24" s="56">
        <f>C24+E24+G24+I24+K24</f>
        <v>100.18234934</v>
      </c>
      <c r="O24" s="49">
        <f>D24+F24+H24+J24+L24+M24</f>
        <v>198.58822111000001</v>
      </c>
      <c r="P24" s="11"/>
      <c r="Q24" s="10"/>
    </row>
    <row r="25" spans="1:20" s="7" customFormat="1" ht="31.5" collapsed="1" x14ac:dyDescent="0.25">
      <c r="A25" s="219" t="s">
        <v>62</v>
      </c>
      <c r="B25" s="103" t="s">
        <v>41</v>
      </c>
      <c r="C25" s="44">
        <v>101.91244800000001</v>
      </c>
      <c r="D25" s="45">
        <f>D19+D23</f>
        <v>47.293387899999999</v>
      </c>
      <c r="E25" s="44">
        <v>28.819474</v>
      </c>
      <c r="F25" s="45">
        <f>F19+F23</f>
        <v>59.493739189999999</v>
      </c>
      <c r="G25" s="44">
        <v>39.796539510000002</v>
      </c>
      <c r="H25" s="45">
        <f>H19+H23</f>
        <v>45.764830169999996</v>
      </c>
      <c r="I25" s="44">
        <v>58.65738795</v>
      </c>
      <c r="J25" s="45">
        <f>J19+J23</f>
        <v>67.719551420000002</v>
      </c>
      <c r="K25" s="44">
        <v>48.788544909999999</v>
      </c>
      <c r="L25" s="45">
        <f>L19+L23</f>
        <v>59.897413520000001</v>
      </c>
      <c r="M25" s="90">
        <f>M19+M23</f>
        <v>104.21459344</v>
      </c>
      <c r="N25" s="37">
        <f t="shared" ref="N25:N27" si="0">C25+E25+G25+I25+K25</f>
        <v>277.97439436999997</v>
      </c>
      <c r="O25" s="38">
        <f t="shared" ref="O25:O27" si="1">D25+F25+H25+J25+L25+M25</f>
        <v>384.38351563999998</v>
      </c>
      <c r="P25" s="11"/>
      <c r="Q25" s="10"/>
    </row>
    <row r="26" spans="1:20" s="7" customFormat="1" ht="36" customHeight="1" x14ac:dyDescent="0.25">
      <c r="A26" s="220"/>
      <c r="B26" s="104" t="s">
        <v>49</v>
      </c>
      <c r="C26" s="39">
        <v>122.2949376</v>
      </c>
      <c r="D26" s="40">
        <f>D20+D24</f>
        <v>56.752065479999999</v>
      </c>
      <c r="E26" s="39">
        <v>34.583368800000002</v>
      </c>
      <c r="F26" s="40">
        <f>F20+F24</f>
        <v>71.392487029999998</v>
      </c>
      <c r="G26" s="39">
        <v>47.755847410000001</v>
      </c>
      <c r="H26" s="40">
        <f>H20+H24</f>
        <v>54.917796199999998</v>
      </c>
      <c r="I26" s="39">
        <v>70.388865539999998</v>
      </c>
      <c r="J26" s="40">
        <f>J20+J24</f>
        <v>81.263461710000001</v>
      </c>
      <c r="K26" s="39">
        <v>58.546253890000003</v>
      </c>
      <c r="L26" s="40">
        <f>L20+L24</f>
        <v>71.876896219999992</v>
      </c>
      <c r="M26" s="88">
        <f>M20+M24</f>
        <v>125.05751212999999</v>
      </c>
      <c r="N26" s="56">
        <f t="shared" si="0"/>
        <v>333.56927323999997</v>
      </c>
      <c r="O26" s="49">
        <f t="shared" si="1"/>
        <v>461.26021876999994</v>
      </c>
      <c r="P26" s="62"/>
      <c r="Q26" s="63"/>
      <c r="R26" s="63"/>
      <c r="S26" s="63"/>
      <c r="T26" s="63"/>
    </row>
    <row r="27" spans="1:20" ht="15.75" x14ac:dyDescent="0.25">
      <c r="A27" s="74" t="s">
        <v>13</v>
      </c>
      <c r="B27" s="101" t="s">
        <v>9</v>
      </c>
      <c r="C27" s="33">
        <v>8177</v>
      </c>
      <c r="D27" s="34">
        <v>7983</v>
      </c>
      <c r="E27" s="33">
        <v>7148</v>
      </c>
      <c r="F27" s="34">
        <v>5791</v>
      </c>
      <c r="G27" s="33">
        <v>10411</v>
      </c>
      <c r="H27" s="34">
        <v>10235</v>
      </c>
      <c r="I27" s="33">
        <v>3728</v>
      </c>
      <c r="J27" s="34">
        <v>3930</v>
      </c>
      <c r="K27" s="33">
        <v>4918</v>
      </c>
      <c r="L27" s="34">
        <v>1563</v>
      </c>
      <c r="M27" s="85">
        <v>649</v>
      </c>
      <c r="N27" s="33">
        <f t="shared" si="0"/>
        <v>34382</v>
      </c>
      <c r="O27" s="34">
        <f t="shared" si="1"/>
        <v>30151</v>
      </c>
      <c r="P27" s="65"/>
      <c r="Q27" s="62">
        <f>R27-O27</f>
        <v>0</v>
      </c>
      <c r="R27" s="63">
        <v>30151</v>
      </c>
      <c r="S27" s="63"/>
      <c r="T27" s="63"/>
    </row>
    <row r="28" spans="1:20" s="7" customFormat="1" ht="33" customHeight="1" outlineLevel="1" x14ac:dyDescent="0.25">
      <c r="A28" s="75"/>
      <c r="B28" s="102" t="s">
        <v>40</v>
      </c>
      <c r="C28" s="47">
        <v>1.6735999999999999E-3</v>
      </c>
      <c r="D28" s="97">
        <f>ROUND(0.001488*$H$3,8)</f>
        <v>1.5757900000000001E-3</v>
      </c>
      <c r="E28" s="47">
        <v>1.7522600000000001E-3</v>
      </c>
      <c r="F28" s="36">
        <f>ROUND(D28*$I$3,8)</f>
        <v>1.65931E-3</v>
      </c>
      <c r="G28" s="47">
        <v>1.8346199999999999E-3</v>
      </c>
      <c r="H28" s="36">
        <f>ROUND(F28*$J$3,8)</f>
        <v>1.7389599999999999E-3</v>
      </c>
      <c r="I28" s="47">
        <v>1.92085E-3</v>
      </c>
      <c r="J28" s="36">
        <f>ROUND(H28*$K$3,8)</f>
        <v>1.8224300000000001E-3</v>
      </c>
      <c r="K28" s="35">
        <v>2.0111299999999999E-3</v>
      </c>
      <c r="L28" s="36">
        <f>ROUND(J28*$L$3,8)</f>
        <v>1.9099099999999999E-3</v>
      </c>
      <c r="M28" s="86">
        <f>ROUND(L28*$M$3,8)</f>
        <v>2.0015900000000001E-3</v>
      </c>
      <c r="N28" s="47"/>
      <c r="O28" s="48"/>
      <c r="P28" s="10"/>
    </row>
    <row r="29" spans="1:20" ht="31.5" collapsed="1" x14ac:dyDescent="0.25">
      <c r="A29" s="219" t="s">
        <v>3</v>
      </c>
      <c r="B29" s="103" t="s">
        <v>50</v>
      </c>
      <c r="C29" s="37">
        <v>13.6850272</v>
      </c>
      <c r="D29" s="38">
        <f>ROUND(D28*D27,8)</f>
        <v>12.57953157</v>
      </c>
      <c r="E29" s="37">
        <v>12.525154479999999</v>
      </c>
      <c r="F29" s="38">
        <f>ROUND(F28*F27,8)</f>
        <v>9.6090642099999997</v>
      </c>
      <c r="G29" s="37">
        <v>19.100228820000002</v>
      </c>
      <c r="H29" s="38">
        <f>ROUND(H28*H27,8)</f>
        <v>17.798255600000001</v>
      </c>
      <c r="I29" s="37">
        <v>7.1609287999999998</v>
      </c>
      <c r="J29" s="38">
        <f>ROUND(J28*J27,8)</f>
        <v>7.1621499000000002</v>
      </c>
      <c r="K29" s="37">
        <v>9.8907373399999994</v>
      </c>
      <c r="L29" s="38">
        <f>ROUND(L28*L27,8)</f>
        <v>2.9851893299999999</v>
      </c>
      <c r="M29" s="87">
        <f>ROUND(M28*M27,8)</f>
        <v>1.2990319100000001</v>
      </c>
      <c r="N29" s="37">
        <f t="shared" ref="N29:N31" si="2">C29+E29+G29+I29+K29</f>
        <v>62.362076640000005</v>
      </c>
      <c r="O29" s="38">
        <f t="shared" ref="O29:O31" si="3">D29+F29+H29+J29+L29+M29</f>
        <v>51.433222520000001</v>
      </c>
    </row>
    <row r="30" spans="1:20" ht="31.5" customHeight="1" x14ac:dyDescent="0.25">
      <c r="A30" s="220"/>
      <c r="B30" s="104" t="s">
        <v>51</v>
      </c>
      <c r="C30" s="56">
        <v>16.422032640000001</v>
      </c>
      <c r="D30" s="40">
        <f>ROUND(D29*1.2,8)</f>
        <v>15.09543788</v>
      </c>
      <c r="E30" s="56">
        <v>15.030185380000001</v>
      </c>
      <c r="F30" s="40">
        <f>ROUND(F29*1.2,8)</f>
        <v>11.530877050000001</v>
      </c>
      <c r="G30" s="56">
        <v>22.920274580000001</v>
      </c>
      <c r="H30" s="40">
        <f>ROUND(H29*1.2,8)</f>
        <v>21.357906719999999</v>
      </c>
      <c r="I30" s="56">
        <v>8.5931145600000001</v>
      </c>
      <c r="J30" s="40">
        <f>ROUND(J29*1.2,8)</f>
        <v>8.5945798799999995</v>
      </c>
      <c r="K30" s="39">
        <v>11.868884810000001</v>
      </c>
      <c r="L30" s="40">
        <f>ROUND(L29*1.2,8)</f>
        <v>3.5822272000000002</v>
      </c>
      <c r="M30" s="88">
        <f>ROUND(M29*1.2,8)</f>
        <v>1.55883829</v>
      </c>
      <c r="N30" s="56">
        <f t="shared" si="2"/>
        <v>74.834491970000002</v>
      </c>
      <c r="O30" s="49">
        <f t="shared" si="3"/>
        <v>61.719867019999988</v>
      </c>
    </row>
    <row r="31" spans="1:20" ht="31.5" x14ac:dyDescent="0.25">
      <c r="A31" s="74" t="s">
        <v>14</v>
      </c>
      <c r="B31" s="101" t="s">
        <v>10</v>
      </c>
      <c r="C31" s="33">
        <v>816</v>
      </c>
      <c r="D31" s="34">
        <v>0</v>
      </c>
      <c r="E31" s="33">
        <v>916</v>
      </c>
      <c r="F31" s="34">
        <v>0</v>
      </c>
      <c r="G31" s="33">
        <v>958</v>
      </c>
      <c r="H31" s="34">
        <v>0</v>
      </c>
      <c r="I31" s="33">
        <v>918</v>
      </c>
      <c r="J31" s="34">
        <v>0</v>
      </c>
      <c r="K31" s="33">
        <v>907</v>
      </c>
      <c r="L31" s="34">
        <v>0</v>
      </c>
      <c r="M31" s="85">
        <v>0</v>
      </c>
      <c r="N31" s="33">
        <f t="shared" si="2"/>
        <v>4515</v>
      </c>
      <c r="O31" s="34">
        <f t="shared" si="3"/>
        <v>0</v>
      </c>
      <c r="P31" s="6"/>
    </row>
    <row r="32" spans="1:20" s="7" customFormat="1" ht="37.5" customHeight="1" outlineLevel="1" x14ac:dyDescent="0.25">
      <c r="A32" s="75"/>
      <c r="B32" s="102" t="s">
        <v>40</v>
      </c>
      <c r="C32" s="47">
        <v>0.10489999999999999</v>
      </c>
      <c r="D32" s="97">
        <v>0.13090299999999999</v>
      </c>
      <c r="E32" s="43">
        <v>0.10983030000000001</v>
      </c>
      <c r="F32" s="36">
        <f>ROUND(D32*$I$3,8)</f>
        <v>0.13784086000000001</v>
      </c>
      <c r="G32" s="43">
        <v>0.11499232</v>
      </c>
      <c r="H32" s="36">
        <f>ROUND(F32*$J$3,8)</f>
        <v>0.14445722</v>
      </c>
      <c r="I32" s="35">
        <v>0.12039696</v>
      </c>
      <c r="J32" s="36">
        <f>ROUND(H32*$K$3,8)</f>
        <v>0.15139116999999999</v>
      </c>
      <c r="K32" s="35">
        <v>0.12605562000000001</v>
      </c>
      <c r="L32" s="36">
        <f>ROUND(J32*$L$3,8)</f>
        <v>0.15865794999999999</v>
      </c>
      <c r="M32" s="86">
        <f>ROUND(L32*$M$3,8)</f>
        <v>0.16627353</v>
      </c>
      <c r="N32" s="46"/>
      <c r="O32" s="66"/>
      <c r="P32" s="10"/>
    </row>
    <row r="33" spans="1:22" s="7" customFormat="1" ht="31.5" customHeight="1" collapsed="1" x14ac:dyDescent="0.25">
      <c r="A33" s="219" t="s">
        <v>4</v>
      </c>
      <c r="B33" s="103" t="s">
        <v>52</v>
      </c>
      <c r="C33" s="37">
        <v>85.598399999999998</v>
      </c>
      <c r="D33" s="38">
        <f>ROUND(D32*D31,8)</f>
        <v>0</v>
      </c>
      <c r="E33" s="37">
        <v>100.6045548</v>
      </c>
      <c r="F33" s="38">
        <f>ROUND(F32*F31,8)</f>
        <v>0</v>
      </c>
      <c r="G33" s="37">
        <v>110.16264255999999</v>
      </c>
      <c r="H33" s="38">
        <f>ROUND(H32*H31,8)</f>
        <v>0</v>
      </c>
      <c r="I33" s="37">
        <v>110.52440928</v>
      </c>
      <c r="J33" s="38">
        <f>ROUND(J32*J31,8)</f>
        <v>0</v>
      </c>
      <c r="K33" s="37">
        <v>114.33244734</v>
      </c>
      <c r="L33" s="38">
        <f>ROUND(L32*L31,8)</f>
        <v>0</v>
      </c>
      <c r="M33" s="87">
        <f>ROUND(M32*M31,8)</f>
        <v>0</v>
      </c>
      <c r="N33" s="37">
        <f t="shared" ref="N33:N41" si="4">C33+E33+G33+I33+K33</f>
        <v>521.22245397999995</v>
      </c>
      <c r="O33" s="38">
        <f t="shared" ref="O33:O41" si="5">D33+F33+H33+J33+L33+M33</f>
        <v>0</v>
      </c>
      <c r="P33" s="10"/>
    </row>
    <row r="34" spans="1:22" s="7" customFormat="1" ht="31.5" customHeight="1" x14ac:dyDescent="0.25">
      <c r="A34" s="220"/>
      <c r="B34" s="104" t="s">
        <v>53</v>
      </c>
      <c r="C34" s="56">
        <v>102.71808</v>
      </c>
      <c r="D34" s="40">
        <f>ROUND(D33*1.2,8)</f>
        <v>0</v>
      </c>
      <c r="E34" s="56">
        <v>120.72546576000001</v>
      </c>
      <c r="F34" s="40">
        <f>ROUND(F33*1.2,8)</f>
        <v>0</v>
      </c>
      <c r="G34" s="56">
        <v>132.19517106999999</v>
      </c>
      <c r="H34" s="40">
        <f>ROUND(H33*1.2,8)</f>
        <v>0</v>
      </c>
      <c r="I34" s="56">
        <v>132.62929113999999</v>
      </c>
      <c r="J34" s="40">
        <f>ROUND(J33*1.2,8)</f>
        <v>0</v>
      </c>
      <c r="K34" s="39">
        <v>137.19893680999999</v>
      </c>
      <c r="L34" s="40">
        <f>ROUND(L33*1.2,8)</f>
        <v>0</v>
      </c>
      <c r="M34" s="88">
        <f>ROUND(M33*1.2,8)</f>
        <v>0</v>
      </c>
      <c r="N34" s="56">
        <f t="shared" si="4"/>
        <v>625.46694477999995</v>
      </c>
      <c r="O34" s="49">
        <f t="shared" si="5"/>
        <v>0</v>
      </c>
      <c r="P34" s="10"/>
    </row>
    <row r="35" spans="1:22" ht="15.75" x14ac:dyDescent="0.25">
      <c r="A35" s="217" t="s">
        <v>15</v>
      </c>
      <c r="B35" s="101" t="s">
        <v>55</v>
      </c>
      <c r="C35" s="50">
        <v>0</v>
      </c>
      <c r="D35" s="51">
        <v>0</v>
      </c>
      <c r="E35" s="50">
        <v>0</v>
      </c>
      <c r="F35" s="51">
        <v>0</v>
      </c>
      <c r="G35" s="50">
        <v>0</v>
      </c>
      <c r="H35" s="51">
        <v>0</v>
      </c>
      <c r="I35" s="50">
        <v>0</v>
      </c>
      <c r="J35" s="51">
        <v>0</v>
      </c>
      <c r="K35" s="50">
        <v>0</v>
      </c>
      <c r="L35" s="51">
        <v>0</v>
      </c>
      <c r="M35" s="91">
        <v>0</v>
      </c>
      <c r="N35" s="50">
        <f t="shared" si="4"/>
        <v>0</v>
      </c>
      <c r="O35" s="51">
        <f t="shared" si="5"/>
        <v>0</v>
      </c>
    </row>
    <row r="36" spans="1:22" ht="42" customHeight="1" x14ac:dyDescent="0.25">
      <c r="A36" s="218"/>
      <c r="B36" s="101" t="s">
        <v>54</v>
      </c>
      <c r="C36" s="50">
        <v>0</v>
      </c>
      <c r="D36" s="51">
        <v>0</v>
      </c>
      <c r="E36" s="50">
        <v>0</v>
      </c>
      <c r="F36" s="51">
        <v>0</v>
      </c>
      <c r="G36" s="50">
        <v>0</v>
      </c>
      <c r="H36" s="51">
        <v>0</v>
      </c>
      <c r="I36" s="50">
        <v>0</v>
      </c>
      <c r="J36" s="51">
        <v>0</v>
      </c>
      <c r="K36" s="50">
        <v>0</v>
      </c>
      <c r="L36" s="51">
        <v>0</v>
      </c>
      <c r="M36" s="91">
        <v>0</v>
      </c>
      <c r="N36" s="50">
        <f t="shared" si="4"/>
        <v>0</v>
      </c>
      <c r="O36" s="51">
        <f t="shared" si="5"/>
        <v>0</v>
      </c>
    </row>
    <row r="37" spans="1:22" ht="15.75" outlineLevel="1" x14ac:dyDescent="0.25">
      <c r="A37" s="77" t="s">
        <v>5</v>
      </c>
      <c r="B37" s="106" t="s">
        <v>17</v>
      </c>
      <c r="C37" s="52">
        <v>0</v>
      </c>
      <c r="D37" s="53">
        <v>0</v>
      </c>
      <c r="E37" s="52">
        <v>0</v>
      </c>
      <c r="F37" s="53">
        <v>0</v>
      </c>
      <c r="G37" s="52">
        <v>0</v>
      </c>
      <c r="H37" s="53">
        <v>0</v>
      </c>
      <c r="I37" s="52">
        <v>0</v>
      </c>
      <c r="J37" s="53">
        <v>0</v>
      </c>
      <c r="K37" s="52">
        <v>0</v>
      </c>
      <c r="L37" s="53">
        <v>0</v>
      </c>
      <c r="M37" s="92">
        <v>0</v>
      </c>
      <c r="N37" s="98">
        <f t="shared" si="4"/>
        <v>0</v>
      </c>
      <c r="O37" s="72">
        <f t="shared" si="5"/>
        <v>0</v>
      </c>
      <c r="P37" s="5"/>
      <c r="Q37" s="5"/>
      <c r="R37" s="5"/>
      <c r="S37" s="5"/>
      <c r="T37" s="5"/>
      <c r="U37" s="5"/>
      <c r="V37" s="5"/>
    </row>
    <row r="38" spans="1:22" ht="15.75" outlineLevel="1" x14ac:dyDescent="0.25">
      <c r="A38" s="77" t="s">
        <v>6</v>
      </c>
      <c r="B38" s="106" t="s">
        <v>18</v>
      </c>
      <c r="C38" s="52">
        <v>0</v>
      </c>
      <c r="D38" s="53">
        <v>0</v>
      </c>
      <c r="E38" s="52">
        <v>0</v>
      </c>
      <c r="F38" s="53">
        <v>0</v>
      </c>
      <c r="G38" s="52">
        <v>0</v>
      </c>
      <c r="H38" s="53">
        <v>0</v>
      </c>
      <c r="I38" s="52">
        <v>0</v>
      </c>
      <c r="J38" s="53">
        <v>0</v>
      </c>
      <c r="K38" s="52">
        <v>0</v>
      </c>
      <c r="L38" s="53">
        <v>0</v>
      </c>
      <c r="M38" s="92">
        <v>0</v>
      </c>
      <c r="N38" s="98">
        <f t="shared" si="4"/>
        <v>0</v>
      </c>
      <c r="O38" s="72">
        <f t="shared" si="5"/>
        <v>0</v>
      </c>
      <c r="P38" s="5"/>
      <c r="Q38" s="5"/>
      <c r="R38" s="5"/>
      <c r="S38" s="5"/>
      <c r="T38" s="5"/>
      <c r="U38" s="5"/>
      <c r="V38" s="5"/>
    </row>
    <row r="39" spans="1:22" ht="17.25" customHeight="1" x14ac:dyDescent="0.25">
      <c r="A39" s="217" t="s">
        <v>23</v>
      </c>
      <c r="B39" s="101" t="s">
        <v>73</v>
      </c>
      <c r="C39" s="50">
        <v>138.16019238999999</v>
      </c>
      <c r="D39" s="51">
        <f>D43+D47+D51+D57</f>
        <v>123.31437310000001</v>
      </c>
      <c r="E39" s="50">
        <v>88.736649099999994</v>
      </c>
      <c r="F39" s="51">
        <f>F43+F47+F51+F57</f>
        <v>80.352191930000004</v>
      </c>
      <c r="G39" s="50">
        <v>114.90742534</v>
      </c>
      <c r="H39" s="51">
        <f>H43+H47+H51+H57</f>
        <v>116.91458288000001</v>
      </c>
      <c r="I39" s="50">
        <v>231.60507843999997</v>
      </c>
      <c r="J39" s="51">
        <f>J43+J47+J51+J57</f>
        <v>234.99450220000003</v>
      </c>
      <c r="K39" s="50">
        <v>156.01959273000003</v>
      </c>
      <c r="L39" s="51">
        <f>L43+L47+L51+L57</f>
        <v>136.65872782</v>
      </c>
      <c r="M39" s="91">
        <f>M43+M47+M51+M57</f>
        <v>183.7296848</v>
      </c>
      <c r="N39" s="50">
        <f t="shared" si="4"/>
        <v>729.4289379999999</v>
      </c>
      <c r="O39" s="51">
        <f t="shared" si="5"/>
        <v>875.96406273000002</v>
      </c>
      <c r="P39" s="5"/>
      <c r="Q39" s="5"/>
      <c r="R39" s="5"/>
    </row>
    <row r="40" spans="1:22" ht="15.75" x14ac:dyDescent="0.25">
      <c r="A40" s="218"/>
      <c r="B40" s="101" t="s">
        <v>74</v>
      </c>
      <c r="C40" s="50">
        <v>165.79223086000002</v>
      </c>
      <c r="D40" s="51">
        <f>ROUND(D39*1.2,8)</f>
        <v>147.97724772000001</v>
      </c>
      <c r="E40" s="50">
        <v>106.48397892</v>
      </c>
      <c r="F40" s="51">
        <f>ROUND(F39*1.2,8)</f>
        <v>96.422630319999996</v>
      </c>
      <c r="G40" s="50">
        <v>137.88891040999999</v>
      </c>
      <c r="H40" s="51">
        <f>ROUND(H39*1.2,8)</f>
        <v>140.29749946000001</v>
      </c>
      <c r="I40" s="50">
        <v>277.92609413000002</v>
      </c>
      <c r="J40" s="51">
        <f>ROUND(J39*1.2,8)</f>
        <v>281.99340264</v>
      </c>
      <c r="K40" s="50">
        <v>187.22351128</v>
      </c>
      <c r="L40" s="51">
        <f>ROUND(L39*1.2,8)</f>
        <v>163.99047338</v>
      </c>
      <c r="M40" s="91">
        <f>ROUND(M39*1.2,8)</f>
        <v>220.47562176</v>
      </c>
      <c r="N40" s="50">
        <f t="shared" si="4"/>
        <v>875.31472560000009</v>
      </c>
      <c r="O40" s="51">
        <f t="shared" si="5"/>
        <v>1051.1568752800001</v>
      </c>
      <c r="P40" s="5"/>
      <c r="Q40" s="5"/>
      <c r="R40" s="5"/>
    </row>
    <row r="41" spans="1:22" s="7" customFormat="1" ht="15.75" x14ac:dyDescent="0.25">
      <c r="A41" s="68"/>
      <c r="B41" s="102" t="s">
        <v>35</v>
      </c>
      <c r="C41" s="54">
        <v>48499</v>
      </c>
      <c r="D41" s="55">
        <f>D12</f>
        <v>45265</v>
      </c>
      <c r="E41" s="54">
        <v>26242</v>
      </c>
      <c r="F41" s="55">
        <f>F12</f>
        <v>24868</v>
      </c>
      <c r="G41" s="54">
        <v>33462</v>
      </c>
      <c r="H41" s="55">
        <f>H12</f>
        <v>32996</v>
      </c>
      <c r="I41" s="54">
        <v>91622</v>
      </c>
      <c r="J41" s="55">
        <f>J12</f>
        <v>91912</v>
      </c>
      <c r="K41" s="54">
        <v>51804</v>
      </c>
      <c r="L41" s="55">
        <f>L12</f>
        <v>50989</v>
      </c>
      <c r="M41" s="93">
        <f>M12</f>
        <v>66546</v>
      </c>
      <c r="N41" s="54">
        <f t="shared" si="4"/>
        <v>251629</v>
      </c>
      <c r="O41" s="55">
        <f t="shared" si="5"/>
        <v>312576</v>
      </c>
      <c r="P41" s="12"/>
      <c r="Q41" s="12"/>
      <c r="R41" s="12"/>
    </row>
    <row r="42" spans="1:22" s="7" customFormat="1" ht="15.75" x14ac:dyDescent="0.25">
      <c r="A42" s="68"/>
      <c r="B42" s="102" t="s">
        <v>38</v>
      </c>
      <c r="C42" s="47">
        <v>1.7882200000000001E-3</v>
      </c>
      <c r="D42" s="97">
        <f>ROUND((0.000458+0.00017+0.00118641*1.05)*$H$3,8)</f>
        <v>1.9842800000000002E-3</v>
      </c>
      <c r="E42" s="47">
        <v>1.8722700000000001E-3</v>
      </c>
      <c r="F42" s="36">
        <f>ROUND(D42*$I$3,8)</f>
        <v>2.0894500000000001E-3</v>
      </c>
      <c r="G42" s="47">
        <v>1.9602700000000001E-3</v>
      </c>
      <c r="H42" s="36">
        <f>ROUND(F42*$J$3,8)</f>
        <v>2.1897399999999999E-3</v>
      </c>
      <c r="I42" s="47">
        <v>2.0523999999999998E-3</v>
      </c>
      <c r="J42" s="36">
        <f>ROUND(H42*$K$3,8)</f>
        <v>2.2948500000000002E-3</v>
      </c>
      <c r="K42" s="35">
        <v>2.1488599999999998E-3</v>
      </c>
      <c r="L42" s="36">
        <f>ROUND(J42*$L$3,8)</f>
        <v>2.405E-3</v>
      </c>
      <c r="M42" s="86">
        <f>ROUND(L42*$M$3,8)</f>
        <v>2.5204400000000001E-3</v>
      </c>
      <c r="N42" s="47"/>
      <c r="O42" s="48"/>
      <c r="P42" s="12"/>
      <c r="Q42" s="12"/>
      <c r="R42" s="12"/>
    </row>
    <row r="43" spans="1:22" ht="51" customHeight="1" x14ac:dyDescent="0.25">
      <c r="A43" s="219" t="s">
        <v>24</v>
      </c>
      <c r="B43" s="103" t="s">
        <v>56</v>
      </c>
      <c r="C43" s="37">
        <v>86.726881779999999</v>
      </c>
      <c r="D43" s="38">
        <f>ROUND(D42*D41,8)</f>
        <v>89.818434199999999</v>
      </c>
      <c r="E43" s="37">
        <v>49.13210934</v>
      </c>
      <c r="F43" s="38">
        <f>ROUND(F42*F41,8)</f>
        <v>51.9604426</v>
      </c>
      <c r="G43" s="37">
        <v>65.594554740000007</v>
      </c>
      <c r="H43" s="38">
        <f>ROUND(H42*H41,8)</f>
        <v>72.252661040000007</v>
      </c>
      <c r="I43" s="37">
        <v>188.04499279999999</v>
      </c>
      <c r="J43" s="38">
        <f>ROUND(J42*J41,8)</f>
        <v>210.92425320000001</v>
      </c>
      <c r="K43" s="37">
        <v>111.31954344</v>
      </c>
      <c r="L43" s="38">
        <f>ROUND(L42*L41,8)</f>
        <v>122.628545</v>
      </c>
      <c r="M43" s="87">
        <f>ROUND(M42*M41,8)</f>
        <v>167.72520023999999</v>
      </c>
      <c r="N43" s="37">
        <f t="shared" ref="N43:N45" si="6">C43+E43+G43+I43+K43</f>
        <v>500.81808210000003</v>
      </c>
      <c r="O43" s="38">
        <f t="shared" ref="O43:O45" si="7">D43+F43+H43+J43+L43+M43</f>
        <v>715.30953627999997</v>
      </c>
    </row>
    <row r="44" spans="1:22" ht="53.25" customHeight="1" x14ac:dyDescent="0.25">
      <c r="A44" s="220"/>
      <c r="B44" s="104" t="s">
        <v>57</v>
      </c>
      <c r="C44" s="56">
        <v>104.07225812999999</v>
      </c>
      <c r="D44" s="40">
        <f>ROUND(D43*1.2,8)</f>
        <v>107.78212104000001</v>
      </c>
      <c r="E44" s="56">
        <v>58.958531209999997</v>
      </c>
      <c r="F44" s="40">
        <f>ROUND(F43*1.2,8)</f>
        <v>62.352531120000002</v>
      </c>
      <c r="G44" s="56">
        <v>78.713465690000007</v>
      </c>
      <c r="H44" s="40">
        <f>ROUND(H43*1.2,8)</f>
        <v>86.703193249999998</v>
      </c>
      <c r="I44" s="56">
        <v>225.65399135999999</v>
      </c>
      <c r="J44" s="40">
        <f>ROUND(J43*1.2,8)</f>
        <v>253.10910383999999</v>
      </c>
      <c r="K44" s="39">
        <v>133.58345213000001</v>
      </c>
      <c r="L44" s="40">
        <f>ROUND(L43*1.2,8)</f>
        <v>147.15425400000001</v>
      </c>
      <c r="M44" s="88">
        <f>ROUND(M43*1.2,8)</f>
        <v>201.27024029</v>
      </c>
      <c r="N44" s="56">
        <f t="shared" si="6"/>
        <v>600.98169852000001</v>
      </c>
      <c r="O44" s="49">
        <f t="shared" si="7"/>
        <v>858.37144353999997</v>
      </c>
    </row>
    <row r="45" spans="1:22" s="7" customFormat="1" ht="15.75" x14ac:dyDescent="0.25">
      <c r="A45" s="68"/>
      <c r="B45" s="102" t="s">
        <v>35</v>
      </c>
      <c r="C45" s="54">
        <v>6072</v>
      </c>
      <c r="D45" s="55">
        <f>D16</f>
        <v>2270</v>
      </c>
      <c r="E45" s="54">
        <v>1640</v>
      </c>
      <c r="F45" s="55">
        <f>F16</f>
        <v>2667</v>
      </c>
      <c r="G45" s="54">
        <v>2163</v>
      </c>
      <c r="H45" s="55">
        <f>H16</f>
        <v>1963</v>
      </c>
      <c r="I45" s="54">
        <v>3045</v>
      </c>
      <c r="J45" s="55">
        <f>J16</f>
        <v>2773</v>
      </c>
      <c r="K45" s="54">
        <v>2419</v>
      </c>
      <c r="L45" s="55">
        <f>L16</f>
        <v>2366</v>
      </c>
      <c r="M45" s="93">
        <f>M16</f>
        <v>3967</v>
      </c>
      <c r="N45" s="54">
        <f t="shared" si="6"/>
        <v>15339</v>
      </c>
      <c r="O45" s="55">
        <f t="shared" si="7"/>
        <v>16006</v>
      </c>
    </row>
    <row r="46" spans="1:22" s="7" customFormat="1" ht="15.75" x14ac:dyDescent="0.25">
      <c r="A46" s="68"/>
      <c r="B46" s="102" t="s">
        <v>38</v>
      </c>
      <c r="C46" s="47">
        <v>3.3199599999999998E-3</v>
      </c>
      <c r="D46" s="97">
        <f>ROUND((0.00105+0.00017+0.00118641*1.05)*$H$3,8)</f>
        <v>2.6112100000000001E-3</v>
      </c>
      <c r="E46" s="47">
        <v>3.4759999999999999E-3</v>
      </c>
      <c r="F46" s="36">
        <f>ROUND(D46*$I$3,8)</f>
        <v>2.7496E-3</v>
      </c>
      <c r="G46" s="47">
        <v>3.6393699999999998E-3</v>
      </c>
      <c r="H46" s="36">
        <f>ROUND(F46*$J$3,8)</f>
        <v>2.8815799999999999E-3</v>
      </c>
      <c r="I46" s="47">
        <v>3.8104200000000001E-3</v>
      </c>
      <c r="J46" s="36">
        <f>ROUND(H46*$K$3,8)</f>
        <v>3.0198999999999998E-3</v>
      </c>
      <c r="K46" s="35">
        <v>3.9895099999999999E-3</v>
      </c>
      <c r="L46" s="36">
        <f>ROUND(J46*$L$3,8)</f>
        <v>3.1648599999999998E-3</v>
      </c>
      <c r="M46" s="86">
        <f>ROUND(L46*$M$3,8)</f>
        <v>3.3167700000000001E-3</v>
      </c>
      <c r="N46" s="47"/>
      <c r="O46" s="48"/>
    </row>
    <row r="47" spans="1:22" ht="47.25" x14ac:dyDescent="0.25">
      <c r="A47" s="219" t="s">
        <v>25</v>
      </c>
      <c r="B47" s="103" t="s">
        <v>58</v>
      </c>
      <c r="C47" s="37">
        <v>20.158797119999999</v>
      </c>
      <c r="D47" s="38">
        <f>ROUND(D46*D45,8)</f>
        <v>5.9274467</v>
      </c>
      <c r="E47" s="37">
        <v>5.7006399999999999</v>
      </c>
      <c r="F47" s="38">
        <f>ROUND(F46*F45,8)</f>
        <v>7.3331831999999997</v>
      </c>
      <c r="G47" s="37">
        <v>7.87195731</v>
      </c>
      <c r="H47" s="38">
        <f>ROUND(H46*H45,8)</f>
        <v>5.6565415400000001</v>
      </c>
      <c r="I47" s="37">
        <v>11.602728900000001</v>
      </c>
      <c r="J47" s="38">
        <f>ROUND(J46*J45,8)</f>
        <v>8.3741827000000004</v>
      </c>
      <c r="K47" s="37">
        <v>9.6506246900000008</v>
      </c>
      <c r="L47" s="38">
        <f>ROUND(L46*L45,8)</f>
        <v>7.4880587600000004</v>
      </c>
      <c r="M47" s="87">
        <f>ROUND(M46*M45,8)</f>
        <v>13.15762659</v>
      </c>
      <c r="N47" s="37">
        <f t="shared" ref="N47:N49" si="8">C47+E47+G47+I47+K47</f>
        <v>54.984748020000005</v>
      </c>
      <c r="O47" s="38">
        <f t="shared" ref="O47:O49" si="9">D47+F47+H47+J47+L47+M47</f>
        <v>47.937039490000004</v>
      </c>
    </row>
    <row r="48" spans="1:22" ht="51" customHeight="1" x14ac:dyDescent="0.25">
      <c r="A48" s="220"/>
      <c r="B48" s="104" t="s">
        <v>59</v>
      </c>
      <c r="C48" s="56">
        <v>24.19055655</v>
      </c>
      <c r="D48" s="40">
        <f>ROUND(D47*1.2,8)</f>
        <v>7.1129360400000001</v>
      </c>
      <c r="E48" s="56">
        <v>6.8407679999999997</v>
      </c>
      <c r="F48" s="40">
        <f>ROUND(F47*1.2,8)</f>
        <v>8.7998198399999996</v>
      </c>
      <c r="G48" s="56">
        <v>9.4463487700000002</v>
      </c>
      <c r="H48" s="40">
        <f>ROUND(H47*1.2,8)</f>
        <v>6.7878498499999997</v>
      </c>
      <c r="I48" s="56">
        <v>13.92327468</v>
      </c>
      <c r="J48" s="40">
        <f>ROUND(J47*1.2,8)</f>
        <v>10.04901924</v>
      </c>
      <c r="K48" s="39">
        <v>11.58074963</v>
      </c>
      <c r="L48" s="40">
        <f>ROUND(L47*1.2,8)</f>
        <v>8.9856705100000003</v>
      </c>
      <c r="M48" s="88">
        <f>ROUND(M47*1.2,8)</f>
        <v>15.789151909999999</v>
      </c>
      <c r="N48" s="56">
        <f t="shared" si="8"/>
        <v>65.981697629999999</v>
      </c>
      <c r="O48" s="49">
        <f t="shared" si="9"/>
        <v>57.524447389999999</v>
      </c>
    </row>
    <row r="49" spans="1:29" ht="15.75" x14ac:dyDescent="0.25">
      <c r="A49" s="68"/>
      <c r="B49" s="102" t="s">
        <v>35</v>
      </c>
      <c r="C49" s="43">
        <v>8177</v>
      </c>
      <c r="D49" s="55">
        <f>D27</f>
        <v>7983</v>
      </c>
      <c r="E49" s="43">
        <v>7148</v>
      </c>
      <c r="F49" s="55">
        <f>F27</f>
        <v>5791</v>
      </c>
      <c r="G49" s="43">
        <v>10411</v>
      </c>
      <c r="H49" s="55">
        <f>H27</f>
        <v>10235</v>
      </c>
      <c r="I49" s="43">
        <v>3728</v>
      </c>
      <c r="J49" s="55">
        <f>J27</f>
        <v>3930</v>
      </c>
      <c r="K49" s="54">
        <v>4918</v>
      </c>
      <c r="L49" s="55">
        <f>L27</f>
        <v>1563</v>
      </c>
      <c r="M49" s="93">
        <f>M27</f>
        <v>649</v>
      </c>
      <c r="N49" s="43">
        <f t="shared" si="8"/>
        <v>34382</v>
      </c>
      <c r="O49" s="55">
        <f t="shared" si="9"/>
        <v>30151</v>
      </c>
    </row>
    <row r="50" spans="1:29" ht="15.75" x14ac:dyDescent="0.25">
      <c r="A50" s="68"/>
      <c r="B50" s="102" t="s">
        <v>38</v>
      </c>
      <c r="C50" s="47">
        <v>1.3414500000000001E-3</v>
      </c>
      <c r="D50" s="97">
        <f>ROUND(0.003261*$H$3,8)</f>
        <v>3.4534000000000001E-3</v>
      </c>
      <c r="E50" s="47">
        <v>1.4044999999999999E-3</v>
      </c>
      <c r="F50" s="36">
        <f>ROUND(D50*$I$3,8)</f>
        <v>3.63643E-3</v>
      </c>
      <c r="G50" s="47">
        <v>1.47051E-3</v>
      </c>
      <c r="H50" s="36">
        <f>ROUND(F50*$J$3,8)</f>
        <v>3.8109799999999998E-3</v>
      </c>
      <c r="I50" s="47">
        <v>1.53962E-3</v>
      </c>
      <c r="J50" s="36">
        <f>ROUND(H50*$K$3,8)</f>
        <v>3.9939099999999998E-3</v>
      </c>
      <c r="K50" s="35">
        <v>1.6119800000000001E-3</v>
      </c>
      <c r="L50" s="36">
        <f>ROUND(J50*$L$3,8)</f>
        <v>4.1856200000000001E-3</v>
      </c>
      <c r="M50" s="86">
        <f>ROUND(L50*$M$3,8)</f>
        <v>4.3865299999999996E-3</v>
      </c>
      <c r="N50" s="47"/>
      <c r="O50" s="48"/>
    </row>
    <row r="51" spans="1:29" ht="47.25" x14ac:dyDescent="0.25">
      <c r="A51" s="221" t="s">
        <v>26</v>
      </c>
      <c r="B51" s="103" t="s">
        <v>60</v>
      </c>
      <c r="C51" s="37">
        <v>10.96903665</v>
      </c>
      <c r="D51" s="38">
        <f>ROUND(D50*D49,8)</f>
        <v>27.568492200000001</v>
      </c>
      <c r="E51" s="37">
        <v>10.039365999999999</v>
      </c>
      <c r="F51" s="38">
        <f>ROUND(F50*F49,8)</f>
        <v>21.058566129999999</v>
      </c>
      <c r="G51" s="37">
        <v>15.30947961</v>
      </c>
      <c r="H51" s="38">
        <f>ROUND(H50*H49,8)</f>
        <v>39.005380299999999</v>
      </c>
      <c r="I51" s="37">
        <v>5.73970336</v>
      </c>
      <c r="J51" s="38">
        <f>ROUND(J50*J49,8)</f>
        <v>15.6960663</v>
      </c>
      <c r="K51" s="37">
        <v>7.92771764</v>
      </c>
      <c r="L51" s="38">
        <f>ROUND(L50*L49,8)</f>
        <v>6.5421240599999999</v>
      </c>
      <c r="M51" s="87">
        <f>ROUND(M50*M49,8)</f>
        <v>2.8468579699999998</v>
      </c>
      <c r="N51" s="37">
        <f t="shared" ref="N51:N53" si="10">C51+E51+G51+I51+K51</f>
        <v>49.985303260000002</v>
      </c>
      <c r="O51" s="38">
        <f t="shared" ref="O51:O53" si="11">D51+F51+H51+J51+L51+M51</f>
        <v>112.71748696</v>
      </c>
    </row>
    <row r="52" spans="1:29" ht="57" customHeight="1" x14ac:dyDescent="0.25">
      <c r="A52" s="222"/>
      <c r="B52" s="104" t="s">
        <v>61</v>
      </c>
      <c r="C52" s="56">
        <v>13.16284398</v>
      </c>
      <c r="D52" s="40">
        <f>ROUND(D51*1.2,8)</f>
        <v>33.08219064</v>
      </c>
      <c r="E52" s="56">
        <v>12.0472392</v>
      </c>
      <c r="F52" s="40">
        <f>ROUND(F51*1.2,8)</f>
        <v>25.27027936</v>
      </c>
      <c r="G52" s="56">
        <v>18.371375530000002</v>
      </c>
      <c r="H52" s="40">
        <f>ROUND(H51*1.2,8)</f>
        <v>46.806456359999999</v>
      </c>
      <c r="I52" s="56">
        <v>6.8876440299999997</v>
      </c>
      <c r="J52" s="40">
        <f>ROUND(J51*1.2,8)</f>
        <v>18.83527956</v>
      </c>
      <c r="K52" s="39">
        <v>9.5132611699999998</v>
      </c>
      <c r="L52" s="40">
        <f>ROUND(L51*1.2,8)</f>
        <v>7.8505488699999999</v>
      </c>
      <c r="M52" s="88">
        <f>ROUND(M51*1.2,8)</f>
        <v>3.4162295600000001</v>
      </c>
      <c r="N52" s="56">
        <f t="shared" si="10"/>
        <v>59.982363909999997</v>
      </c>
      <c r="O52" s="49">
        <f t="shared" si="11"/>
        <v>135.26098435</v>
      </c>
    </row>
    <row r="53" spans="1:29" s="7" customFormat="1" ht="15.75" x14ac:dyDescent="0.25">
      <c r="A53" s="68"/>
      <c r="B53" s="102" t="s">
        <v>35</v>
      </c>
      <c r="C53" s="54">
        <v>798</v>
      </c>
      <c r="D53" s="55">
        <f>D31-D55</f>
        <v>0</v>
      </c>
      <c r="E53" s="54">
        <v>894</v>
      </c>
      <c r="F53" s="55">
        <f>F31-F55</f>
        <v>0</v>
      </c>
      <c r="G53" s="54">
        <v>934</v>
      </c>
      <c r="H53" s="55">
        <f>H31-H55</f>
        <v>0</v>
      </c>
      <c r="I53" s="54">
        <v>896</v>
      </c>
      <c r="J53" s="55">
        <f>J31-J55</f>
        <v>0</v>
      </c>
      <c r="K53" s="54">
        <v>887</v>
      </c>
      <c r="L53" s="55">
        <f>L31-L55</f>
        <v>0</v>
      </c>
      <c r="M53" s="93">
        <f>M31-M55</f>
        <v>0</v>
      </c>
      <c r="N53" s="54">
        <f t="shared" si="10"/>
        <v>4409</v>
      </c>
      <c r="O53" s="55">
        <f t="shared" si="11"/>
        <v>0</v>
      </c>
    </row>
    <row r="54" spans="1:29" s="7" customFormat="1" ht="15.75" x14ac:dyDescent="0.25">
      <c r="A54" s="68"/>
      <c r="B54" s="102" t="s">
        <v>75</v>
      </c>
      <c r="C54" s="47">
        <v>2.4892009999999999E-2</v>
      </c>
      <c r="D54" s="97">
        <f>ROUND(0.014695*$H$3,8)</f>
        <v>1.5562009999999999E-2</v>
      </c>
      <c r="E54" s="47">
        <v>2.6061930000000001E-2</v>
      </c>
      <c r="F54" s="36">
        <f>ROUND(D54*$I$3,8)</f>
        <v>1.63868E-2</v>
      </c>
      <c r="G54" s="47">
        <v>2.728684E-2</v>
      </c>
      <c r="H54" s="36">
        <f>ROUND(F54*$J$3,8)</f>
        <v>1.717337E-2</v>
      </c>
      <c r="I54" s="47">
        <v>2.8569319999999999E-2</v>
      </c>
      <c r="J54" s="36">
        <f>ROUND(H54*$K$3,8)</f>
        <v>1.799769E-2</v>
      </c>
      <c r="K54" s="35">
        <v>2.9912080000000001E-2</v>
      </c>
      <c r="L54" s="36">
        <f>ROUND(J54*$L$3,8)</f>
        <v>1.8861579999999999E-2</v>
      </c>
      <c r="M54" s="86">
        <f>ROUND(L54*$M$3,8)</f>
        <v>1.976694E-2</v>
      </c>
      <c r="N54" s="47"/>
      <c r="O54" s="48"/>
    </row>
    <row r="55" spans="1:29" s="7" customFormat="1" ht="15.75" x14ac:dyDescent="0.25">
      <c r="A55" s="78"/>
      <c r="B55" s="102" t="s">
        <v>35</v>
      </c>
      <c r="C55" s="70">
        <v>18</v>
      </c>
      <c r="D55" s="61">
        <v>0</v>
      </c>
      <c r="E55" s="70">
        <v>22</v>
      </c>
      <c r="F55" s="61">
        <v>0</v>
      </c>
      <c r="G55" s="70">
        <v>24</v>
      </c>
      <c r="H55" s="61">
        <v>0</v>
      </c>
      <c r="I55" s="70">
        <v>22</v>
      </c>
      <c r="J55" s="61">
        <v>0</v>
      </c>
      <c r="K55" s="70">
        <v>20</v>
      </c>
      <c r="L55" s="61">
        <v>0</v>
      </c>
      <c r="M55" s="94">
        <v>0</v>
      </c>
      <c r="N55" s="70">
        <f>C55+E55+G55+I55+K55</f>
        <v>106</v>
      </c>
      <c r="O55" s="61">
        <f>D55+F55+H55+J55+L55+M55</f>
        <v>0</v>
      </c>
    </row>
    <row r="56" spans="1:29" s="7" customFormat="1" ht="31.5" x14ac:dyDescent="0.25">
      <c r="A56" s="78"/>
      <c r="B56" s="102" t="s">
        <v>76</v>
      </c>
      <c r="C56" s="47">
        <v>2.4536269999999999E-2</v>
      </c>
      <c r="D56" s="36">
        <v>0</v>
      </c>
      <c r="E56" s="47">
        <v>2.5689469999999999E-2</v>
      </c>
      <c r="F56" s="36">
        <f>ROUND(D56*$I$3,8)</f>
        <v>0</v>
      </c>
      <c r="G56" s="47">
        <v>2.6896880000000001E-2</v>
      </c>
      <c r="H56" s="36">
        <f>ROUND(F56*$J$3,8)</f>
        <v>0</v>
      </c>
      <c r="I56" s="80">
        <v>2.816103E-2</v>
      </c>
      <c r="J56" s="36">
        <f>ROUND(H56*$K$3,8)</f>
        <v>0</v>
      </c>
      <c r="K56" s="35">
        <v>2.94846E-2</v>
      </c>
      <c r="L56" s="36">
        <f>ROUND(J56*$L$3,8)</f>
        <v>0</v>
      </c>
      <c r="M56" s="86">
        <f>ROUND(L56*$M$3,8)</f>
        <v>0</v>
      </c>
      <c r="N56" s="47"/>
      <c r="O56" s="48"/>
    </row>
    <row r="57" spans="1:29" ht="47.25" x14ac:dyDescent="0.25">
      <c r="A57" s="219" t="s">
        <v>16</v>
      </c>
      <c r="B57" s="103" t="s">
        <v>63</v>
      </c>
      <c r="C57" s="37">
        <v>20.305476840000001</v>
      </c>
      <c r="D57" s="38">
        <f>ROUND((D54*D53)+(D55*D56),8)</f>
        <v>0</v>
      </c>
      <c r="E57" s="37">
        <v>23.86453376</v>
      </c>
      <c r="F57" s="38">
        <f>ROUND((F54*F53)+(F55*F56),8)</f>
        <v>0</v>
      </c>
      <c r="G57" s="37">
        <v>26.131433680000001</v>
      </c>
      <c r="H57" s="38">
        <f>ROUND((H54*H53)+(H55*H56),8)</f>
        <v>0</v>
      </c>
      <c r="I57" s="37">
        <v>26.217653380000002</v>
      </c>
      <c r="J57" s="38">
        <f>ROUND((J54*J53)+(J55*J56),8)</f>
        <v>0</v>
      </c>
      <c r="K57" s="37">
        <v>27.121706960000001</v>
      </c>
      <c r="L57" s="38">
        <f>ROUND((L54*L53)+(L55*L56),8)</f>
        <v>0</v>
      </c>
      <c r="M57" s="87">
        <f>ROUND((M54*M53)+(M55*M56),8)</f>
        <v>0</v>
      </c>
      <c r="N57" s="37">
        <f t="shared" ref="N57:N64" si="12">C57+E57+G57+I57+K57</f>
        <v>123.64080462</v>
      </c>
      <c r="O57" s="38">
        <f t="shared" ref="O57:O64" si="13">D57+F57+H57+J57+L57+M57</f>
        <v>0</v>
      </c>
    </row>
    <row r="58" spans="1:29" ht="63.75" customHeight="1" x14ac:dyDescent="0.25">
      <c r="A58" s="220"/>
      <c r="B58" s="104" t="s">
        <v>64</v>
      </c>
      <c r="C58" s="56">
        <v>24.366572210000001</v>
      </c>
      <c r="D58" s="40">
        <f>ROUND(D57*1.2,8)</f>
        <v>0</v>
      </c>
      <c r="E58" s="56">
        <v>28.637440510000001</v>
      </c>
      <c r="F58" s="40">
        <f>ROUND(F57*1.2,8)</f>
        <v>0</v>
      </c>
      <c r="G58" s="56">
        <v>31.35772042</v>
      </c>
      <c r="H58" s="40">
        <f>ROUND(H57*1.2,8)</f>
        <v>0</v>
      </c>
      <c r="I58" s="56">
        <v>31.461184060000001</v>
      </c>
      <c r="J58" s="40">
        <f>ROUND(J57*1.2,8)</f>
        <v>0</v>
      </c>
      <c r="K58" s="39">
        <v>32.54604835</v>
      </c>
      <c r="L58" s="40">
        <f>ROUND(L57*1.2,8)</f>
        <v>0</v>
      </c>
      <c r="M58" s="88">
        <f>ROUND(M57*1.2,8)</f>
        <v>0</v>
      </c>
      <c r="N58" s="56">
        <f t="shared" si="12"/>
        <v>148.36896555000001</v>
      </c>
      <c r="O58" s="49">
        <f t="shared" si="13"/>
        <v>0</v>
      </c>
    </row>
    <row r="59" spans="1:29" ht="48.75" customHeight="1" x14ac:dyDescent="0.25">
      <c r="A59" s="77" t="s">
        <v>39</v>
      </c>
      <c r="B59" s="107" t="s">
        <v>65</v>
      </c>
      <c r="C59" s="52">
        <v>0</v>
      </c>
      <c r="D59" s="53">
        <v>0</v>
      </c>
      <c r="E59" s="52">
        <v>0</v>
      </c>
      <c r="F59" s="53">
        <v>0</v>
      </c>
      <c r="G59" s="52">
        <v>0</v>
      </c>
      <c r="H59" s="53">
        <v>0</v>
      </c>
      <c r="I59" s="52">
        <v>0</v>
      </c>
      <c r="J59" s="53">
        <v>0</v>
      </c>
      <c r="K59" s="52">
        <v>0</v>
      </c>
      <c r="L59" s="53">
        <v>0</v>
      </c>
      <c r="M59" s="92">
        <v>0</v>
      </c>
      <c r="N59" s="98">
        <f t="shared" si="12"/>
        <v>0</v>
      </c>
      <c r="O59" s="72">
        <f t="shared" si="13"/>
        <v>0</v>
      </c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50.25" customHeight="1" x14ac:dyDescent="0.25">
      <c r="A60" s="69"/>
      <c r="B60" s="107" t="s">
        <v>66</v>
      </c>
      <c r="C60" s="52">
        <v>0</v>
      </c>
      <c r="D60" s="53">
        <v>0</v>
      </c>
      <c r="E60" s="52">
        <v>0</v>
      </c>
      <c r="F60" s="53">
        <v>0</v>
      </c>
      <c r="G60" s="52">
        <v>0</v>
      </c>
      <c r="H60" s="53">
        <v>0</v>
      </c>
      <c r="I60" s="52">
        <v>0</v>
      </c>
      <c r="J60" s="53">
        <v>0</v>
      </c>
      <c r="K60" s="52">
        <v>0</v>
      </c>
      <c r="L60" s="53">
        <v>0</v>
      </c>
      <c r="M60" s="92">
        <v>0</v>
      </c>
      <c r="N60" s="52">
        <f t="shared" si="12"/>
        <v>0</v>
      </c>
      <c r="O60" s="53">
        <f t="shared" si="13"/>
        <v>0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ht="15.75" x14ac:dyDescent="0.25">
      <c r="A61" s="79" t="s">
        <v>30</v>
      </c>
      <c r="B61" s="108" t="s">
        <v>27</v>
      </c>
      <c r="C61" s="57">
        <v>592.93684789999998</v>
      </c>
      <c r="D61" s="58">
        <f>D14+D25+D29+D33</f>
        <v>607.77858546999994</v>
      </c>
      <c r="E61" s="57">
        <v>363.87594034000006</v>
      </c>
      <c r="F61" s="58">
        <f>F14+F25+F29+F33</f>
        <v>386.06859063999997</v>
      </c>
      <c r="G61" s="57">
        <v>465.34567830999998</v>
      </c>
      <c r="H61" s="58">
        <f>H14+H25+H29+H33</f>
        <v>504.31474485000001</v>
      </c>
      <c r="I61" s="57">
        <v>1025.7308905700002</v>
      </c>
      <c r="J61" s="58">
        <f>J14+J25+J29+J33</f>
        <v>1361.54859812</v>
      </c>
      <c r="K61" s="57">
        <v>675.83637675</v>
      </c>
      <c r="L61" s="58">
        <f>L14+L25+L29+L33</f>
        <v>810.93457350000006</v>
      </c>
      <c r="M61" s="95">
        <f>M14+M25+M29+M33</f>
        <v>1128.6617026499998</v>
      </c>
      <c r="N61" s="57">
        <f t="shared" si="12"/>
        <v>3123.7257338700001</v>
      </c>
      <c r="O61" s="58">
        <f t="shared" si="13"/>
        <v>4799.3067952299998</v>
      </c>
    </row>
    <row r="62" spans="1:29" ht="31.5" x14ac:dyDescent="0.25">
      <c r="A62" s="79" t="s">
        <v>31</v>
      </c>
      <c r="B62" s="108" t="s">
        <v>28</v>
      </c>
      <c r="C62" s="59">
        <v>138.16019238999999</v>
      </c>
      <c r="D62" s="60">
        <f>D43+D47+D51+D57</f>
        <v>123.31437310000001</v>
      </c>
      <c r="E62" s="59">
        <v>88.736649099999994</v>
      </c>
      <c r="F62" s="60">
        <f>F43+F47+F51+F57</f>
        <v>80.352191930000004</v>
      </c>
      <c r="G62" s="59">
        <v>114.90742534</v>
      </c>
      <c r="H62" s="60">
        <f>H43+H47+H51+H57</f>
        <v>116.91458288000001</v>
      </c>
      <c r="I62" s="59">
        <v>231.60507843999997</v>
      </c>
      <c r="J62" s="60">
        <f>J43+J47+J51+J57</f>
        <v>234.99450220000003</v>
      </c>
      <c r="K62" s="59">
        <v>156.01959273000003</v>
      </c>
      <c r="L62" s="60">
        <f>L43+L47+L51+L57</f>
        <v>136.65872782</v>
      </c>
      <c r="M62" s="96">
        <f>M43+M47+M51+M57</f>
        <v>183.7296848</v>
      </c>
      <c r="N62" s="59">
        <f t="shared" si="12"/>
        <v>729.4289379999999</v>
      </c>
      <c r="O62" s="60">
        <f t="shared" si="13"/>
        <v>875.96406273000002</v>
      </c>
      <c r="P62" s="5"/>
      <c r="Q62" s="5"/>
      <c r="R62" s="5"/>
    </row>
    <row r="63" spans="1:29" ht="20.25" x14ac:dyDescent="0.25">
      <c r="A63" s="223" t="s">
        <v>32</v>
      </c>
      <c r="B63" s="112" t="s">
        <v>29</v>
      </c>
      <c r="C63" s="113">
        <v>731.09704029</v>
      </c>
      <c r="D63" s="114">
        <f>D61+D62</f>
        <v>731.09295856999995</v>
      </c>
      <c r="E63" s="113">
        <v>452.61258944000008</v>
      </c>
      <c r="F63" s="114">
        <f>F61+F62</f>
        <v>466.42078256999997</v>
      </c>
      <c r="G63" s="113">
        <v>580.25310364999996</v>
      </c>
      <c r="H63" s="114">
        <f>H61+H62</f>
        <v>621.22932773000002</v>
      </c>
      <c r="I63" s="113">
        <v>1257.3359690100001</v>
      </c>
      <c r="J63" s="114">
        <f>J61+J62</f>
        <v>1596.5431003199999</v>
      </c>
      <c r="K63" s="113">
        <v>831.85596948</v>
      </c>
      <c r="L63" s="114">
        <f>L61+L62</f>
        <v>947.59330132000002</v>
      </c>
      <c r="M63" s="115">
        <f>M61+M62</f>
        <v>1312.3913874499999</v>
      </c>
      <c r="N63" s="113">
        <f t="shared" si="12"/>
        <v>3853.1546718700001</v>
      </c>
      <c r="O63" s="114">
        <f t="shared" si="13"/>
        <v>5675.2708579600003</v>
      </c>
      <c r="P63" s="5"/>
      <c r="Q63" s="5"/>
      <c r="R63" s="5"/>
    </row>
    <row r="64" spans="1:29" ht="21" thickBot="1" x14ac:dyDescent="0.3">
      <c r="A64" s="224"/>
      <c r="B64" s="116" t="s">
        <v>42</v>
      </c>
      <c r="C64" s="117">
        <v>877.31644834000008</v>
      </c>
      <c r="D64" s="118">
        <f>ROUND(D63*1.2,8)</f>
        <v>877.31155028000001</v>
      </c>
      <c r="E64" s="117">
        <v>543.13510732999998</v>
      </c>
      <c r="F64" s="118">
        <f>ROUND(F63*1.2,8)</f>
        <v>559.70493908000003</v>
      </c>
      <c r="G64" s="117">
        <v>696.30372437999995</v>
      </c>
      <c r="H64" s="118">
        <f>ROUND(H63*1.2,8)</f>
        <v>745.47519327999998</v>
      </c>
      <c r="I64" s="117">
        <v>1508.80316281</v>
      </c>
      <c r="J64" s="118">
        <f>ROUND(J63*1.2,8)</f>
        <v>1915.85172038</v>
      </c>
      <c r="K64" s="117">
        <v>998.22716337999998</v>
      </c>
      <c r="L64" s="118">
        <f>ROUND(L63*1.2,8)</f>
        <v>1137.1119615800001</v>
      </c>
      <c r="M64" s="119">
        <f>ROUND(M63*1.2,8)</f>
        <v>1574.8696649399999</v>
      </c>
      <c r="N64" s="117">
        <f t="shared" si="12"/>
        <v>4623.7856062399997</v>
      </c>
      <c r="O64" s="118">
        <f t="shared" si="13"/>
        <v>6810.3250295399994</v>
      </c>
      <c r="P64" s="5"/>
      <c r="Q64" s="5"/>
      <c r="R64" s="5"/>
    </row>
    <row r="65" spans="1:18" s="7" customFormat="1" ht="18.75" x14ac:dyDescent="0.25">
      <c r="A65" s="22"/>
      <c r="B65" s="28"/>
      <c r="C65" s="24"/>
      <c r="D65" s="21"/>
      <c r="E65" s="24"/>
      <c r="F65" s="21"/>
      <c r="G65" s="21"/>
      <c r="H65" s="21"/>
      <c r="I65" s="21"/>
      <c r="J65" s="21"/>
      <c r="K65" s="21"/>
      <c r="L65" s="21"/>
      <c r="M65" s="21"/>
      <c r="N65" s="26"/>
      <c r="O65" s="26"/>
      <c r="P65" s="12"/>
      <c r="Q65" s="12"/>
      <c r="R65" s="12"/>
    </row>
    <row r="66" spans="1:18" s="7" customFormat="1" ht="18.75" x14ac:dyDescent="0.25">
      <c r="A66" s="22"/>
      <c r="B66" s="23"/>
      <c r="C66" s="24"/>
      <c r="D66" s="24"/>
      <c r="E66" s="24"/>
      <c r="F66" s="24"/>
      <c r="G66" s="24"/>
      <c r="H66" s="25"/>
      <c r="I66" s="25"/>
      <c r="J66" s="25"/>
      <c r="K66" s="25"/>
      <c r="L66" s="25"/>
      <c r="M66" s="25"/>
      <c r="N66" s="26"/>
      <c r="O66" s="26"/>
      <c r="P66" s="12"/>
      <c r="Q66" s="12"/>
      <c r="R66" s="12"/>
    </row>
    <row r="67" spans="1:18" ht="44.25" customHeight="1" x14ac:dyDescent="0.35">
      <c r="A67" s="15"/>
      <c r="C67" s="16"/>
      <c r="D67" s="18" t="s">
        <v>81</v>
      </c>
      <c r="E67" s="16"/>
      <c r="F67" s="16"/>
      <c r="G67" s="16"/>
      <c r="I67" s="18"/>
      <c r="J67" s="18"/>
      <c r="K67" s="18" t="s">
        <v>33</v>
      </c>
      <c r="L67" s="18"/>
      <c r="M67" s="18"/>
      <c r="N67" s="17"/>
      <c r="O67" s="17"/>
      <c r="P67" s="5"/>
      <c r="Q67" s="5"/>
      <c r="R67" s="5"/>
    </row>
    <row r="68" spans="1:18" ht="23.25" x14ac:dyDescent="0.35">
      <c r="A68" s="14"/>
      <c r="B68" s="13"/>
      <c r="C68" s="19"/>
      <c r="D68" s="20"/>
      <c r="E68" s="19"/>
      <c r="F68" s="20"/>
      <c r="G68" s="20"/>
      <c r="H68" s="20"/>
      <c r="I68" s="20"/>
      <c r="J68" s="20"/>
      <c r="K68" s="20"/>
      <c r="L68" s="20"/>
      <c r="M68" s="20"/>
      <c r="N68" s="19"/>
      <c r="O68" s="19"/>
      <c r="P68" s="5"/>
      <c r="Q68" s="5"/>
      <c r="R68" s="5"/>
    </row>
  </sheetData>
  <mergeCells count="24">
    <mergeCell ref="A43:A44"/>
    <mergeCell ref="A47:A48"/>
    <mergeCell ref="A51:A52"/>
    <mergeCell ref="A57:A58"/>
    <mergeCell ref="A63:A64"/>
    <mergeCell ref="A39:A40"/>
    <mergeCell ref="A14:A15"/>
    <mergeCell ref="A19:A20"/>
    <mergeCell ref="A23:A24"/>
    <mergeCell ref="A25:A26"/>
    <mergeCell ref="A29:A30"/>
    <mergeCell ref="A33:A34"/>
    <mergeCell ref="A35:A36"/>
    <mergeCell ref="E8:F9"/>
    <mergeCell ref="G8:H9"/>
    <mergeCell ref="I8:J9"/>
    <mergeCell ref="C8:D9"/>
    <mergeCell ref="F1:M1"/>
    <mergeCell ref="K8:L9"/>
    <mergeCell ref="M8:M10"/>
    <mergeCell ref="A6:N6"/>
    <mergeCell ref="A8:A10"/>
    <mergeCell ref="B8:B10"/>
    <mergeCell ref="N8:O9"/>
  </mergeCells>
  <printOptions horizontalCentered="1"/>
  <pageMargins left="0.25" right="0.25" top="0.75" bottom="0.75" header="0.3" footer="0.3"/>
  <pageSetup paperSize="8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A68"/>
  <sheetViews>
    <sheetView tabSelected="1" view="pageBreakPreview" zoomScale="70" zoomScaleNormal="100" zoomScaleSheetLayoutView="70" workbookViewId="0">
      <pane xSplit="2" ySplit="10" topLeftCell="C53" activePane="bottomRight" state="frozen"/>
      <selection pane="topRight" activeCell="C1" sqref="C1"/>
      <selection pane="bottomLeft" activeCell="A8" sqref="A8"/>
      <selection pane="bottomRight" activeCell="B64" sqref="B64"/>
    </sheetView>
  </sheetViews>
  <sheetFormatPr defaultRowHeight="15" outlineLevelRow="2" x14ac:dyDescent="0.25"/>
  <cols>
    <col min="1" max="1" width="6.42578125" style="1" customWidth="1"/>
    <col min="2" max="2" width="56" style="1" customWidth="1"/>
    <col min="3" max="3" width="21" style="1" customWidth="1"/>
    <col min="4" max="4" width="21.42578125" style="1" customWidth="1"/>
    <col min="5" max="8" width="22.7109375" style="1" bestFit="1" customWidth="1"/>
    <col min="9" max="9" width="23.42578125" style="1" bestFit="1" customWidth="1"/>
    <col min="10" max="13" width="23.42578125" style="1" customWidth="1"/>
    <col min="14" max="14" width="24.140625" style="1" customWidth="1"/>
    <col min="15" max="15" width="22.7109375" style="1" customWidth="1"/>
    <col min="16" max="16" width="15.140625" style="1" bestFit="1" customWidth="1"/>
    <col min="17" max="17" width="13.28515625" style="1" customWidth="1"/>
    <col min="18" max="18" width="25.5703125" style="1" bestFit="1" customWidth="1"/>
    <col min="19" max="19" width="38" style="1" bestFit="1" customWidth="1"/>
    <col min="20" max="20" width="16.28515625" style="1" customWidth="1"/>
    <col min="21" max="21" width="14.85546875" style="1" customWidth="1"/>
    <col min="22" max="22" width="17.28515625" style="1" customWidth="1"/>
    <col min="23" max="23" width="15.85546875" style="1" customWidth="1"/>
    <col min="24" max="24" width="14.85546875" style="1" customWidth="1"/>
    <col min="25" max="16384" width="9.140625" style="1"/>
  </cols>
  <sheetData>
    <row r="1" spans="1:20" ht="36" customHeight="1" x14ac:dyDescent="0.25">
      <c r="C1" s="122"/>
      <c r="F1" s="206" t="s">
        <v>78</v>
      </c>
      <c r="G1" s="206"/>
      <c r="H1" s="206"/>
      <c r="I1" s="206"/>
      <c r="J1" s="206"/>
      <c r="K1" s="206"/>
      <c r="L1" s="206"/>
      <c r="M1" s="206"/>
      <c r="N1" s="84"/>
      <c r="O1" s="82"/>
    </row>
    <row r="2" spans="1:20" x14ac:dyDescent="0.25">
      <c r="D2" s="83"/>
      <c r="F2" s="30" t="s">
        <v>67</v>
      </c>
      <c r="G2" s="30" t="s">
        <v>68</v>
      </c>
      <c r="H2" s="30" t="s">
        <v>69</v>
      </c>
      <c r="I2" s="30" t="s">
        <v>70</v>
      </c>
      <c r="J2" s="30" t="s">
        <v>71</v>
      </c>
      <c r="K2" s="30" t="s">
        <v>72</v>
      </c>
      <c r="L2" s="30" t="s">
        <v>77</v>
      </c>
      <c r="M2" s="30" t="s">
        <v>79</v>
      </c>
      <c r="O2" s="71"/>
    </row>
    <row r="3" spans="1:20" x14ac:dyDescent="0.25">
      <c r="D3" s="8"/>
      <c r="F3" s="29">
        <v>1.0509999999999999</v>
      </c>
      <c r="G3" s="29">
        <v>1.0509999999999999</v>
      </c>
      <c r="H3" s="29">
        <v>1.0589999999999999</v>
      </c>
      <c r="I3" s="29">
        <v>1.0529999999999999</v>
      </c>
      <c r="J3" s="29">
        <v>1.048</v>
      </c>
      <c r="K3" s="29">
        <v>1.048</v>
      </c>
      <c r="L3" s="30">
        <v>1.048</v>
      </c>
      <c r="M3" s="30">
        <v>1.048</v>
      </c>
      <c r="O3" s="71"/>
      <c r="P3" s="71"/>
      <c r="Q3" s="71"/>
      <c r="R3" s="71"/>
      <c r="S3" s="71"/>
      <c r="T3" s="71"/>
    </row>
    <row r="4" spans="1:20" ht="20.25" x14ac:dyDescent="0.3">
      <c r="B4" s="2"/>
      <c r="D4" s="83">
        <f>C63-D63</f>
        <v>-140.95216759999994</v>
      </c>
      <c r="F4" s="8">
        <v>381.2</v>
      </c>
      <c r="G4" s="8"/>
      <c r="H4" s="8"/>
      <c r="I4" s="8"/>
      <c r="J4" s="8"/>
      <c r="K4" s="8"/>
      <c r="L4" s="8"/>
      <c r="M4" s="8"/>
      <c r="N4" s="3"/>
      <c r="O4" s="27"/>
      <c r="P4" s="71"/>
      <c r="Q4" s="71"/>
      <c r="R4" s="71"/>
      <c r="S4" s="71"/>
      <c r="T4" s="71"/>
    </row>
    <row r="5" spans="1:20" x14ac:dyDescent="0.25">
      <c r="D5" s="8"/>
      <c r="F5" s="8">
        <f>F4-F63</f>
        <v>-96.332475819999956</v>
      </c>
      <c r="H5" s="8"/>
      <c r="J5" s="8"/>
      <c r="K5" s="8"/>
      <c r="L5" s="8"/>
      <c r="M5" s="8"/>
      <c r="P5" s="81"/>
      <c r="Q5" s="81"/>
      <c r="R5" s="81"/>
      <c r="S5" s="71"/>
      <c r="T5" s="71"/>
    </row>
    <row r="6" spans="1:20" ht="20.25" x14ac:dyDescent="0.25">
      <c r="A6" s="210" t="s">
        <v>85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P6" s="71"/>
      <c r="Q6" s="71"/>
      <c r="R6" s="71"/>
      <c r="S6" s="71"/>
      <c r="T6" s="71"/>
    </row>
    <row r="7" spans="1:20" ht="16.5" thickBot="1" x14ac:dyDescent="0.3">
      <c r="N7" s="4"/>
      <c r="P7" s="71"/>
      <c r="Q7" s="71"/>
      <c r="R7" s="71"/>
      <c r="S7" s="71"/>
      <c r="T7" s="71"/>
    </row>
    <row r="8" spans="1:20" ht="15.75" customHeight="1" x14ac:dyDescent="0.25">
      <c r="A8" s="211" t="s">
        <v>8</v>
      </c>
      <c r="B8" s="214" t="s">
        <v>7</v>
      </c>
      <c r="C8" s="226">
        <v>2023</v>
      </c>
      <c r="D8" s="203"/>
      <c r="E8" s="194">
        <v>2024</v>
      </c>
      <c r="F8" s="195"/>
      <c r="G8" s="198">
        <v>2025</v>
      </c>
      <c r="H8" s="195"/>
      <c r="I8" s="198">
        <v>2026</v>
      </c>
      <c r="J8" s="194"/>
      <c r="K8" s="202">
        <v>2027</v>
      </c>
      <c r="L8" s="203"/>
      <c r="M8" s="207">
        <v>2028</v>
      </c>
      <c r="N8" s="194" t="s">
        <v>0</v>
      </c>
      <c r="O8" s="194"/>
      <c r="P8" s="71"/>
      <c r="Q8" s="71"/>
      <c r="R8" s="71"/>
      <c r="S8" s="71"/>
      <c r="T8" s="71"/>
    </row>
    <row r="9" spans="1:20" ht="15.75" customHeight="1" thickBot="1" x14ac:dyDescent="0.3">
      <c r="A9" s="212"/>
      <c r="B9" s="215"/>
      <c r="C9" s="227"/>
      <c r="D9" s="205"/>
      <c r="E9" s="196"/>
      <c r="F9" s="197"/>
      <c r="G9" s="199"/>
      <c r="H9" s="197"/>
      <c r="I9" s="200"/>
      <c r="J9" s="201"/>
      <c r="K9" s="204"/>
      <c r="L9" s="205"/>
      <c r="M9" s="208"/>
      <c r="N9" s="201"/>
      <c r="O9" s="201"/>
      <c r="P9" s="71"/>
      <c r="Q9" s="71"/>
      <c r="R9" s="71"/>
      <c r="S9" s="71"/>
      <c r="T9" s="71"/>
    </row>
    <row r="10" spans="1:20" ht="16.5" thickBot="1" x14ac:dyDescent="0.3">
      <c r="A10" s="213"/>
      <c r="B10" s="225"/>
      <c r="C10" s="120" t="s">
        <v>19</v>
      </c>
      <c r="D10" s="121" t="s">
        <v>20</v>
      </c>
      <c r="E10" s="123" t="s">
        <v>19</v>
      </c>
      <c r="F10" s="124" t="s">
        <v>20</v>
      </c>
      <c r="G10" s="125" t="s">
        <v>19</v>
      </c>
      <c r="H10" s="126" t="s">
        <v>20</v>
      </c>
      <c r="I10" s="120" t="s">
        <v>19</v>
      </c>
      <c r="J10" s="127" t="s">
        <v>20</v>
      </c>
      <c r="K10" s="120" t="s">
        <v>19</v>
      </c>
      <c r="L10" s="121" t="s">
        <v>20</v>
      </c>
      <c r="M10" s="228"/>
      <c r="N10" s="110" t="s">
        <v>19</v>
      </c>
      <c r="O10" s="111" t="s">
        <v>20</v>
      </c>
    </row>
    <row r="11" spans="1:20" x14ac:dyDescent="0.25">
      <c r="A11" s="73">
        <v>1</v>
      </c>
      <c r="B11" s="73">
        <v>2</v>
      </c>
      <c r="C11" s="31">
        <v>5</v>
      </c>
      <c r="D11" s="32">
        <v>7</v>
      </c>
      <c r="E11" s="128">
        <v>9</v>
      </c>
      <c r="F11" s="32">
        <v>10</v>
      </c>
      <c r="G11" s="31">
        <v>11</v>
      </c>
      <c r="H11" s="129">
        <v>12</v>
      </c>
      <c r="I11" s="31">
        <v>13</v>
      </c>
      <c r="J11" s="129">
        <v>14</v>
      </c>
      <c r="K11" s="31">
        <v>15</v>
      </c>
      <c r="L11" s="32">
        <v>16</v>
      </c>
      <c r="M11" s="73">
        <v>17</v>
      </c>
      <c r="N11" s="31">
        <v>18</v>
      </c>
      <c r="O11" s="32">
        <v>19</v>
      </c>
      <c r="P11" s="63"/>
      <c r="Q11" s="63" t="s">
        <v>83</v>
      </c>
      <c r="R11" s="63" t="s">
        <v>82</v>
      </c>
      <c r="S11" s="1" t="s">
        <v>89</v>
      </c>
    </row>
    <row r="12" spans="1:20" ht="15.75" x14ac:dyDescent="0.25">
      <c r="A12" s="74" t="s">
        <v>11</v>
      </c>
      <c r="B12" s="130" t="s">
        <v>22</v>
      </c>
      <c r="C12" s="33">
        <v>18478</v>
      </c>
      <c r="D12" s="34">
        <v>30921</v>
      </c>
      <c r="E12" s="131">
        <v>70899</v>
      </c>
      <c r="F12" s="34">
        <v>26000</v>
      </c>
      <c r="G12" s="33">
        <v>68923</v>
      </c>
      <c r="H12" s="132">
        <f>53834+21297</f>
        <v>75131</v>
      </c>
      <c r="I12" s="33">
        <v>69510</v>
      </c>
      <c r="J12" s="132">
        <f>53334+21297</f>
        <v>74631</v>
      </c>
      <c r="K12" s="33">
        <v>28699</v>
      </c>
      <c r="L12" s="34">
        <f>14401+21297</f>
        <v>35698</v>
      </c>
      <c r="M12" s="133">
        <f>15896+21297</f>
        <v>37193</v>
      </c>
      <c r="N12" s="33">
        <f>C12+E12+G12+I12+K12</f>
        <v>256509</v>
      </c>
      <c r="O12" s="34">
        <f>D12+F12+H12+J12+L12+M12</f>
        <v>279574</v>
      </c>
      <c r="P12" s="62"/>
      <c r="Q12" s="62">
        <f>R12-O12</f>
        <v>0</v>
      </c>
      <c r="R12" s="62">
        <v>279574</v>
      </c>
      <c r="S12" s="134">
        <v>85188</v>
      </c>
    </row>
    <row r="13" spans="1:20" ht="31.5" outlineLevel="1" x14ac:dyDescent="0.25">
      <c r="A13" s="75"/>
      <c r="B13" s="68" t="s">
        <v>40</v>
      </c>
      <c r="C13" s="35">
        <v>8.0773000000000008E-3</v>
      </c>
      <c r="D13" s="97">
        <v>1.21044E-2</v>
      </c>
      <c r="E13" s="135">
        <v>8.4569299999999997E-3</v>
      </c>
      <c r="F13" s="36">
        <f>ROUND(D13*$I$3,8)</f>
        <v>1.2745930000000001E-2</v>
      </c>
      <c r="G13" s="35">
        <v>8.8544100000000001E-3</v>
      </c>
      <c r="H13" s="136">
        <f>ROUND(F13*$J$3,8)</f>
        <v>1.335773E-2</v>
      </c>
      <c r="I13" s="35">
        <v>9.2705700000000005E-3</v>
      </c>
      <c r="J13" s="136">
        <f>ROUND(H13*$K$3,8)</f>
        <v>1.39989E-2</v>
      </c>
      <c r="K13" s="35">
        <v>9.7062899999999994E-3</v>
      </c>
      <c r="L13" s="136">
        <f>ROUND(J13*$L$3,8)</f>
        <v>1.4670849999999999E-2</v>
      </c>
      <c r="M13" s="137">
        <f>ROUND(L13*$M$3,8)</f>
        <v>1.5375049999999999E-2</v>
      </c>
      <c r="N13" s="46"/>
      <c r="O13" s="66"/>
      <c r="P13" s="7"/>
      <c r="Q13" s="7"/>
      <c r="R13" s="7"/>
    </row>
    <row r="14" spans="1:20" ht="39" customHeight="1" collapsed="1" x14ac:dyDescent="0.25">
      <c r="A14" s="219" t="s">
        <v>34</v>
      </c>
      <c r="B14" s="138" t="s">
        <v>43</v>
      </c>
      <c r="C14" s="37">
        <v>149.25234940000001</v>
      </c>
      <c r="D14" s="38">
        <f>ROUND(D13*D12,8)</f>
        <v>374.28015240000002</v>
      </c>
      <c r="E14" s="139">
        <v>599.58788006999998</v>
      </c>
      <c r="F14" s="38">
        <f>ROUND(F13*F12,8)</f>
        <v>331.39418000000001</v>
      </c>
      <c r="G14" s="37">
        <v>610.27250043000004</v>
      </c>
      <c r="H14" s="38">
        <f>ROUND(H13*H12,8)</f>
        <v>1003.57961263</v>
      </c>
      <c r="I14" s="37">
        <v>644.39732070000002</v>
      </c>
      <c r="J14" s="140">
        <f>ROUND(J13*J12,8)</f>
        <v>1044.7519059000001</v>
      </c>
      <c r="K14" s="37">
        <v>278.56081670999998</v>
      </c>
      <c r="L14" s="38">
        <f>ROUND(L13*L12,8)</f>
        <v>523.72000330000003</v>
      </c>
      <c r="M14" s="141">
        <f>ROUND(M13*M12,8)</f>
        <v>571.84423464999998</v>
      </c>
      <c r="N14" s="37">
        <f t="shared" ref="N14:N17" si="0">C14+E14+G14+I14+K14</f>
        <v>2282.0708673099998</v>
      </c>
      <c r="O14" s="38">
        <f t="shared" ref="O14:O17" si="1">D14+F14+H14+J14+L14+M14</f>
        <v>3849.5700888800002</v>
      </c>
      <c r="P14" s="7"/>
      <c r="Q14" s="7"/>
      <c r="R14" s="7"/>
    </row>
    <row r="15" spans="1:20" ht="39" customHeight="1" x14ac:dyDescent="0.25">
      <c r="A15" s="220"/>
      <c r="B15" s="142" t="s">
        <v>44</v>
      </c>
      <c r="C15" s="39">
        <v>179.10281928000001</v>
      </c>
      <c r="D15" s="40">
        <f>ROUND(D14*1.2,8)</f>
        <v>449.13618287999998</v>
      </c>
      <c r="E15" s="143">
        <v>719.50545608000004</v>
      </c>
      <c r="F15" s="40">
        <f>ROUND(F14*1.2,8)</f>
        <v>397.67301600000002</v>
      </c>
      <c r="G15" s="39">
        <v>732.32700051999996</v>
      </c>
      <c r="H15" s="40">
        <f>ROUND(H14*1.2,8)</f>
        <v>1204.2955351600001</v>
      </c>
      <c r="I15" s="39">
        <v>773.27678484</v>
      </c>
      <c r="J15" s="144">
        <f>ROUND(J14*1.2,8)</f>
        <v>1253.7022870799999</v>
      </c>
      <c r="K15" s="39">
        <v>334.27298005</v>
      </c>
      <c r="L15" s="40">
        <f>ROUND(L14*1.2,8)</f>
        <v>628.46400396000001</v>
      </c>
      <c r="M15" s="145">
        <f>ROUND(M14*1.2,8)</f>
        <v>686.21308157999999</v>
      </c>
      <c r="N15" s="39">
        <f t="shared" si="0"/>
        <v>2738.4850407700001</v>
      </c>
      <c r="O15" s="40">
        <f t="shared" si="1"/>
        <v>4619.4841066600002</v>
      </c>
      <c r="P15" s="7"/>
      <c r="Q15" s="7"/>
      <c r="R15" s="7"/>
    </row>
    <row r="16" spans="1:20" ht="15.75" x14ac:dyDescent="0.25">
      <c r="A16" s="74" t="s">
        <v>12</v>
      </c>
      <c r="B16" s="130" t="s">
        <v>21</v>
      </c>
      <c r="C16" s="33">
        <v>4943</v>
      </c>
      <c r="D16" s="34">
        <f>D17+D21</f>
        <v>2177</v>
      </c>
      <c r="E16" s="131">
        <v>2152</v>
      </c>
      <c r="F16" s="34">
        <f>F17+F21</f>
        <v>3229</v>
      </c>
      <c r="G16" s="33">
        <v>3175</v>
      </c>
      <c r="H16" s="132">
        <f>H17+H21</f>
        <v>3362</v>
      </c>
      <c r="I16" s="33">
        <v>3356</v>
      </c>
      <c r="J16" s="132">
        <f>J17+J21</f>
        <v>3173</v>
      </c>
      <c r="K16" s="33">
        <v>1265</v>
      </c>
      <c r="L16" s="34">
        <f>L17+L21</f>
        <v>1329</v>
      </c>
      <c r="M16" s="133">
        <f>M17+M21</f>
        <v>1926</v>
      </c>
      <c r="N16" s="33">
        <f t="shared" si="0"/>
        <v>14891</v>
      </c>
      <c r="O16" s="34">
        <f t="shared" si="1"/>
        <v>15196</v>
      </c>
      <c r="P16" s="63"/>
      <c r="Q16" s="63"/>
      <c r="R16" s="63"/>
    </row>
    <row r="17" spans="1:18" s="7" customFormat="1" ht="30" outlineLevel="1" x14ac:dyDescent="0.25">
      <c r="A17" s="76" t="s">
        <v>1</v>
      </c>
      <c r="B17" s="146" t="s">
        <v>36</v>
      </c>
      <c r="C17" s="41">
        <v>4592</v>
      </c>
      <c r="D17" s="42">
        <v>1258</v>
      </c>
      <c r="E17" s="147">
        <v>772</v>
      </c>
      <c r="F17" s="42">
        <f>769+1000</f>
        <v>1769</v>
      </c>
      <c r="G17" s="41">
        <v>1511</v>
      </c>
      <c r="H17" s="148">
        <f>1342+405</f>
        <v>1747</v>
      </c>
      <c r="I17" s="41">
        <v>1657</v>
      </c>
      <c r="J17" s="148">
        <f>1811+405</f>
        <v>2216</v>
      </c>
      <c r="K17" s="41">
        <v>939</v>
      </c>
      <c r="L17" s="42">
        <f>587+405</f>
        <v>992</v>
      </c>
      <c r="M17" s="149">
        <f>1000+405</f>
        <v>1405</v>
      </c>
      <c r="N17" s="41">
        <f t="shared" si="0"/>
        <v>9471</v>
      </c>
      <c r="O17" s="42">
        <f t="shared" si="1"/>
        <v>9387</v>
      </c>
      <c r="P17" s="64"/>
      <c r="Q17" s="62">
        <f>R17-O17</f>
        <v>0</v>
      </c>
      <c r="R17" s="64">
        <v>9387</v>
      </c>
    </row>
    <row r="18" spans="1:18" s="7" customFormat="1" ht="31.5" outlineLevel="2" x14ac:dyDescent="0.25">
      <c r="A18" s="75"/>
      <c r="B18" s="68" t="s">
        <v>40</v>
      </c>
      <c r="C18" s="43">
        <v>1.6784E-2</v>
      </c>
      <c r="D18" s="97">
        <v>2.1429070000000001E-2</v>
      </c>
      <c r="E18" s="150">
        <v>1.7572850000000001E-2</v>
      </c>
      <c r="F18" s="36">
        <f>ROUND(D18*$I$3,8)</f>
        <v>2.2564810000000001E-2</v>
      </c>
      <c r="G18" s="43">
        <v>1.8398769999999998E-2</v>
      </c>
      <c r="H18" s="136">
        <f>ROUND(F18*$J$3,8)</f>
        <v>2.3647919999999999E-2</v>
      </c>
      <c r="I18" s="35">
        <v>1.9263510000000001E-2</v>
      </c>
      <c r="J18" s="136">
        <f>ROUND(H18*$K$3,8)</f>
        <v>2.4783019999999999E-2</v>
      </c>
      <c r="K18" s="35">
        <v>2.0168889999999998E-2</v>
      </c>
      <c r="L18" s="136">
        <f>ROUND(J18*$L$3,8)</f>
        <v>2.5972599999999998E-2</v>
      </c>
      <c r="M18" s="137">
        <f>ROUND(L18*$M$3,8)</f>
        <v>2.7219279999999998E-2</v>
      </c>
      <c r="N18" s="46"/>
      <c r="O18" s="66"/>
    </row>
    <row r="19" spans="1:18" s="7" customFormat="1" ht="31.5" outlineLevel="2" collapsed="1" x14ac:dyDescent="0.25">
      <c r="A19" s="219"/>
      <c r="B19" s="138" t="s">
        <v>45</v>
      </c>
      <c r="C19" s="44">
        <v>77.072128000000006</v>
      </c>
      <c r="D19" s="38">
        <f>ROUND(D18*D17,8)</f>
        <v>26.957770060000001</v>
      </c>
      <c r="E19" s="151">
        <v>13.566240199999999</v>
      </c>
      <c r="F19" s="38">
        <f>ROUND(F18*F17,8)</f>
        <v>39.91714889</v>
      </c>
      <c r="G19" s="44">
        <v>27.800541469999999</v>
      </c>
      <c r="H19" s="38">
        <f>ROUND(H18*H17,8)</f>
        <v>41.31291624</v>
      </c>
      <c r="I19" s="44">
        <v>31.919636069999999</v>
      </c>
      <c r="J19" s="140">
        <f>ROUND(J18*J17,8)</f>
        <v>54.919172320000001</v>
      </c>
      <c r="K19" s="37">
        <v>18.93858771</v>
      </c>
      <c r="L19" s="38">
        <f>ROUND(L18*L17,8)</f>
        <v>25.764819200000002</v>
      </c>
      <c r="M19" s="141">
        <f>ROUND(M18*M17,8)</f>
        <v>38.243088399999998</v>
      </c>
      <c r="N19" s="37">
        <f t="shared" ref="N19:N21" si="2">C19+E19+G19+I19+K19</f>
        <v>169.29713345000002</v>
      </c>
      <c r="O19" s="38">
        <f t="shared" ref="O19:O21" si="3">D19+F19+H19+J19+L19+M19</f>
        <v>227.11491511</v>
      </c>
    </row>
    <row r="20" spans="1:18" s="7" customFormat="1" ht="32.25" customHeight="1" outlineLevel="2" x14ac:dyDescent="0.25">
      <c r="A20" s="220"/>
      <c r="B20" s="142" t="s">
        <v>46</v>
      </c>
      <c r="C20" s="39">
        <v>92.486553600000008</v>
      </c>
      <c r="D20" s="40">
        <f>ROUND(D19*1.2,8)</f>
        <v>32.349324070000002</v>
      </c>
      <c r="E20" s="143">
        <v>16.279488239999999</v>
      </c>
      <c r="F20" s="40">
        <f>ROUND(F19*1.2,8)</f>
        <v>47.900578670000002</v>
      </c>
      <c r="G20" s="39">
        <v>33.360649760000001</v>
      </c>
      <c r="H20" s="40">
        <f>ROUND(H19*1.2,8)</f>
        <v>49.575499489999999</v>
      </c>
      <c r="I20" s="39">
        <v>38.303563279999999</v>
      </c>
      <c r="J20" s="144">
        <f>ROUND(J19*1.2,8)</f>
        <v>65.903006779999998</v>
      </c>
      <c r="K20" s="39">
        <v>22.726305249999999</v>
      </c>
      <c r="L20" s="40">
        <f>ROUND(L19*1.2,8)</f>
        <v>30.91778304</v>
      </c>
      <c r="M20" s="145">
        <f>ROUND(M19*1.2,8)</f>
        <v>45.891706079999999</v>
      </c>
      <c r="N20" s="56">
        <f t="shared" si="2"/>
        <v>203.15656013</v>
      </c>
      <c r="O20" s="49">
        <f t="shared" si="3"/>
        <v>272.53789812999997</v>
      </c>
      <c r="P20" s="63"/>
      <c r="Q20" s="63"/>
      <c r="R20" s="63"/>
    </row>
    <row r="21" spans="1:18" s="7" customFormat="1" ht="30" outlineLevel="1" x14ac:dyDescent="0.25">
      <c r="A21" s="76" t="s">
        <v>2</v>
      </c>
      <c r="B21" s="146" t="s">
        <v>37</v>
      </c>
      <c r="C21" s="41">
        <v>351</v>
      </c>
      <c r="D21" s="42">
        <v>919</v>
      </c>
      <c r="E21" s="147">
        <v>1380</v>
      </c>
      <c r="F21" s="42">
        <f>1360+100</f>
        <v>1460</v>
      </c>
      <c r="G21" s="41">
        <v>1664</v>
      </c>
      <c r="H21" s="148">
        <f>1590+25</f>
        <v>1615</v>
      </c>
      <c r="I21" s="41">
        <v>1699</v>
      </c>
      <c r="J21" s="148">
        <f>932+25</f>
        <v>957</v>
      </c>
      <c r="K21" s="41">
        <v>326</v>
      </c>
      <c r="L21" s="42">
        <f>312+25</f>
        <v>337</v>
      </c>
      <c r="M21" s="149">
        <f>503+18</f>
        <v>521</v>
      </c>
      <c r="N21" s="41">
        <f t="shared" si="2"/>
        <v>5420</v>
      </c>
      <c r="O21" s="42">
        <f t="shared" si="3"/>
        <v>5809</v>
      </c>
      <c r="P21" s="64"/>
      <c r="Q21" s="62">
        <f>R21-O21</f>
        <v>0</v>
      </c>
      <c r="R21" s="64">
        <v>5809</v>
      </c>
    </row>
    <row r="22" spans="1:18" s="7" customFormat="1" ht="31.5" outlineLevel="2" x14ac:dyDescent="0.25">
      <c r="A22" s="75"/>
      <c r="B22" s="68" t="s">
        <v>40</v>
      </c>
      <c r="C22" s="46">
        <v>1.6784E-2</v>
      </c>
      <c r="D22" s="97">
        <v>2.032202E-2</v>
      </c>
      <c r="E22" s="152">
        <v>1.7572850000000001E-2</v>
      </c>
      <c r="F22" s="36">
        <f>ROUND(D22*$I$3,8)</f>
        <v>2.1399089999999999E-2</v>
      </c>
      <c r="G22" s="46">
        <v>1.8398769999999998E-2</v>
      </c>
      <c r="H22" s="136">
        <f>ROUND(F22*$J$3,8)</f>
        <v>2.2426249999999998E-2</v>
      </c>
      <c r="I22" s="35">
        <v>1.9263510000000001E-2</v>
      </c>
      <c r="J22" s="136">
        <f>ROUND(H22*$K$3,8)</f>
        <v>2.350271E-2</v>
      </c>
      <c r="K22" s="35">
        <v>2.0168889999999998E-2</v>
      </c>
      <c r="L22" s="136">
        <f>ROUND(J22*$L$3,8)</f>
        <v>2.4630840000000001E-2</v>
      </c>
      <c r="M22" s="137">
        <f>ROUND(L22*$M$3,8)</f>
        <v>2.5813119999999998E-2</v>
      </c>
      <c r="N22" s="46"/>
      <c r="O22" s="66"/>
    </row>
    <row r="23" spans="1:18" s="7" customFormat="1" ht="31.5" outlineLevel="2" collapsed="1" x14ac:dyDescent="0.25">
      <c r="A23" s="219"/>
      <c r="B23" s="138" t="s">
        <v>47</v>
      </c>
      <c r="C23" s="37">
        <v>5.891184</v>
      </c>
      <c r="D23" s="38">
        <f>ROUND(D22*D21,8)</f>
        <v>18.67593638</v>
      </c>
      <c r="E23" s="139">
        <v>24.250533000000001</v>
      </c>
      <c r="F23" s="38">
        <f>ROUND(F22*F21,8)</f>
        <v>31.242671399999999</v>
      </c>
      <c r="G23" s="44">
        <v>30.61555328</v>
      </c>
      <c r="H23" s="38">
        <f>ROUND(H22*H21,8)</f>
        <v>36.218393749999997</v>
      </c>
      <c r="I23" s="44">
        <v>32.728703490000001</v>
      </c>
      <c r="J23" s="140">
        <f>ROUND(J22*J21,8)</f>
        <v>22.49209347</v>
      </c>
      <c r="K23" s="37">
        <v>6.5750581400000003</v>
      </c>
      <c r="L23" s="38">
        <f>ROUND(L22*L21,8)</f>
        <v>8.3005930800000005</v>
      </c>
      <c r="M23" s="141">
        <f>ROUND(M22*M21,8)</f>
        <v>13.44863552</v>
      </c>
      <c r="N23" s="37">
        <f t="shared" ref="N23:N27" si="4">C23+E23+G23+I23+K23</f>
        <v>100.06103191</v>
      </c>
      <c r="O23" s="38">
        <f t="shared" ref="O23:O27" si="5">D23+F23+H23+J23+L23+M23</f>
        <v>130.37832359999999</v>
      </c>
    </row>
    <row r="24" spans="1:18" s="7" customFormat="1" ht="31.5" outlineLevel="2" x14ac:dyDescent="0.25">
      <c r="A24" s="220"/>
      <c r="B24" s="142" t="s">
        <v>48</v>
      </c>
      <c r="C24" s="39">
        <v>7.0694207999999996</v>
      </c>
      <c r="D24" s="40">
        <f>ROUND(D23*1.2,8)</f>
        <v>22.411123660000001</v>
      </c>
      <c r="E24" s="143">
        <v>29.100639600000001</v>
      </c>
      <c r="F24" s="40">
        <f>ROUND(F23*1.2,8)</f>
        <v>37.49120568</v>
      </c>
      <c r="G24" s="39">
        <v>36.738663940000002</v>
      </c>
      <c r="H24" s="40">
        <f>ROUND(H23*1.2,8)</f>
        <v>43.462072499999998</v>
      </c>
      <c r="I24" s="39">
        <v>39.274444189999997</v>
      </c>
      <c r="J24" s="144">
        <f>ROUND(J23*1.2,8)</f>
        <v>26.990512160000002</v>
      </c>
      <c r="K24" s="39">
        <v>7.8900697700000002</v>
      </c>
      <c r="L24" s="40">
        <f>ROUND(L23*1.2,8)</f>
        <v>9.9607116999999992</v>
      </c>
      <c r="M24" s="145">
        <f>ROUND(M23*1.2,8)</f>
        <v>16.138362619999999</v>
      </c>
      <c r="N24" s="56">
        <f t="shared" si="4"/>
        <v>120.07323829999999</v>
      </c>
      <c r="O24" s="49">
        <f t="shared" si="5"/>
        <v>156.45398832000001</v>
      </c>
    </row>
    <row r="25" spans="1:18" s="7" customFormat="1" ht="31.5" collapsed="1" x14ac:dyDescent="0.25">
      <c r="A25" s="219" t="s">
        <v>62</v>
      </c>
      <c r="B25" s="138" t="s">
        <v>41</v>
      </c>
      <c r="C25" s="44">
        <v>82.963312000000002</v>
      </c>
      <c r="D25" s="45">
        <f>D19+D23</f>
        <v>45.633706439999997</v>
      </c>
      <c r="E25" s="151">
        <v>37.8167732</v>
      </c>
      <c r="F25" s="45">
        <f>F19+F23</f>
        <v>71.159820289999999</v>
      </c>
      <c r="G25" s="44">
        <v>58.416094749999999</v>
      </c>
      <c r="H25" s="45">
        <f>H19+H23</f>
        <v>77.531309989999997</v>
      </c>
      <c r="I25" s="44">
        <v>64.648339559999997</v>
      </c>
      <c r="J25" s="153">
        <f>J19+J23</f>
        <v>77.411265790000002</v>
      </c>
      <c r="K25" s="44">
        <v>25.51364585</v>
      </c>
      <c r="L25" s="45">
        <f>L19+L23</f>
        <v>34.065412280000004</v>
      </c>
      <c r="M25" s="154">
        <f>M19+M23</f>
        <v>51.691723920000001</v>
      </c>
      <c r="N25" s="37">
        <f t="shared" si="4"/>
        <v>269.35816535999999</v>
      </c>
      <c r="O25" s="38">
        <f t="shared" si="5"/>
        <v>357.49323871000007</v>
      </c>
    </row>
    <row r="26" spans="1:18" s="7" customFormat="1" ht="36" customHeight="1" x14ac:dyDescent="0.25">
      <c r="A26" s="220"/>
      <c r="B26" s="142" t="s">
        <v>49</v>
      </c>
      <c r="C26" s="39">
        <v>99.555974399999997</v>
      </c>
      <c r="D26" s="40">
        <f>D20+D24</f>
        <v>54.760447730000003</v>
      </c>
      <c r="E26" s="143">
        <v>45.38012784</v>
      </c>
      <c r="F26" s="40">
        <f>F20+F24</f>
        <v>85.391784349999995</v>
      </c>
      <c r="G26" s="39">
        <v>70.09931370000001</v>
      </c>
      <c r="H26" s="40">
        <f>H20+H24</f>
        <v>93.037571990000004</v>
      </c>
      <c r="I26" s="39">
        <v>77.578007469999989</v>
      </c>
      <c r="J26" s="144">
        <f>J20+J24</f>
        <v>92.893518940000007</v>
      </c>
      <c r="K26" s="39">
        <v>30.61637502</v>
      </c>
      <c r="L26" s="40">
        <f>L20+L24</f>
        <v>40.878494740000001</v>
      </c>
      <c r="M26" s="145">
        <f>M20+M24</f>
        <v>62.030068700000001</v>
      </c>
      <c r="N26" s="56">
        <f t="shared" si="4"/>
        <v>323.22979843000002</v>
      </c>
      <c r="O26" s="49">
        <f t="shared" si="5"/>
        <v>428.99188645000004</v>
      </c>
      <c r="P26" s="63"/>
      <c r="Q26" s="63"/>
      <c r="R26" s="63"/>
    </row>
    <row r="27" spans="1:18" ht="15.75" x14ac:dyDescent="0.25">
      <c r="A27" s="74" t="s">
        <v>13</v>
      </c>
      <c r="B27" s="130" t="s">
        <v>9</v>
      </c>
      <c r="C27" s="33">
        <v>2987</v>
      </c>
      <c r="D27" s="34">
        <v>3473</v>
      </c>
      <c r="E27" s="131">
        <v>4264</v>
      </c>
      <c r="F27" s="34">
        <f>2457-328</f>
        <v>2129</v>
      </c>
      <c r="G27" s="33">
        <v>6120</v>
      </c>
      <c r="H27" s="132">
        <v>5853</v>
      </c>
      <c r="I27" s="33">
        <v>1764</v>
      </c>
      <c r="J27" s="132">
        <v>1740</v>
      </c>
      <c r="K27" s="33">
        <v>2767</v>
      </c>
      <c r="L27" s="34">
        <v>845</v>
      </c>
      <c r="M27" s="133">
        <v>683</v>
      </c>
      <c r="N27" s="33">
        <f t="shared" si="4"/>
        <v>17902</v>
      </c>
      <c r="O27" s="34">
        <f t="shared" si="5"/>
        <v>14723</v>
      </c>
      <c r="P27" s="63"/>
      <c r="Q27" s="62">
        <f>R27-O27</f>
        <v>0</v>
      </c>
      <c r="R27" s="63">
        <v>14723</v>
      </c>
    </row>
    <row r="28" spans="1:18" s="7" customFormat="1" ht="33" customHeight="1" outlineLevel="1" x14ac:dyDescent="0.25">
      <c r="A28" s="75"/>
      <c r="B28" s="68" t="s">
        <v>40</v>
      </c>
      <c r="C28" s="47">
        <v>1.6735999999999999E-3</v>
      </c>
      <c r="D28" s="97">
        <f>ROUND(0.001488*$H$3,8)</f>
        <v>1.5757900000000001E-3</v>
      </c>
      <c r="E28" s="155">
        <v>1.7522600000000001E-3</v>
      </c>
      <c r="F28" s="36">
        <f>ROUND(D28*$I$3,8)</f>
        <v>1.65931E-3</v>
      </c>
      <c r="G28" s="47">
        <v>1.8346199999999999E-3</v>
      </c>
      <c r="H28" s="136">
        <f>ROUND(F28*$J$3,8)</f>
        <v>1.7389599999999999E-3</v>
      </c>
      <c r="I28" s="47">
        <v>1.92085E-3</v>
      </c>
      <c r="J28" s="136">
        <f>ROUND(H28*$K$3,8)</f>
        <v>1.8224300000000001E-3</v>
      </c>
      <c r="K28" s="35">
        <v>2.0111299999999999E-3</v>
      </c>
      <c r="L28" s="136">
        <f>ROUND(J28*$L$3,8)</f>
        <v>1.9099099999999999E-3</v>
      </c>
      <c r="M28" s="137">
        <f>ROUND(L28*$M$3,8)</f>
        <v>2.0015900000000001E-3</v>
      </c>
      <c r="N28" s="47"/>
      <c r="O28" s="48"/>
    </row>
    <row r="29" spans="1:18" ht="31.5" collapsed="1" x14ac:dyDescent="0.25">
      <c r="A29" s="219" t="s">
        <v>3</v>
      </c>
      <c r="B29" s="138" t="s">
        <v>50</v>
      </c>
      <c r="C29" s="37">
        <v>4.9990432</v>
      </c>
      <c r="D29" s="38">
        <f>ROUND(D28*D27,8)</f>
        <v>5.4727186699999999</v>
      </c>
      <c r="E29" s="139">
        <v>7.4716366399999998</v>
      </c>
      <c r="F29" s="38">
        <f>ROUND(F28*F27,8)</f>
        <v>3.5326709900000002</v>
      </c>
      <c r="G29" s="37">
        <v>11.227874399999999</v>
      </c>
      <c r="H29" s="38">
        <f>ROUND(H28*H27,8)</f>
        <v>10.17813288</v>
      </c>
      <c r="I29" s="37">
        <v>3.3883793999999998</v>
      </c>
      <c r="J29" s="140">
        <f>ROUND(J28*J27,8)</f>
        <v>3.1710281999999999</v>
      </c>
      <c r="K29" s="37">
        <v>5.5647967100000004</v>
      </c>
      <c r="L29" s="38">
        <f>ROUND(L28*L27,8)</f>
        <v>1.6138739499999999</v>
      </c>
      <c r="M29" s="141">
        <f>ROUND(M28*M27,8)</f>
        <v>1.36708597</v>
      </c>
      <c r="N29" s="37">
        <f t="shared" ref="N29:N31" si="6">C29+E29+G29+I29+K29</f>
        <v>32.651730350000001</v>
      </c>
      <c r="O29" s="38">
        <f t="shared" ref="O29:O31" si="7">D29+F29+H29+J29+L29+M29</f>
        <v>25.335510659999997</v>
      </c>
    </row>
    <row r="30" spans="1:18" ht="31.5" customHeight="1" x14ac:dyDescent="0.25">
      <c r="A30" s="220"/>
      <c r="B30" s="142" t="s">
        <v>51</v>
      </c>
      <c r="C30" s="56">
        <v>5.9988518400000004</v>
      </c>
      <c r="D30" s="40">
        <f>ROUND(D29*1.2,8)</f>
        <v>6.5672623999999997</v>
      </c>
      <c r="E30" s="156">
        <v>8.9659639700000007</v>
      </c>
      <c r="F30" s="40">
        <f>ROUND(F29*1.2,8)</f>
        <v>4.2392051899999998</v>
      </c>
      <c r="G30" s="56">
        <v>13.473449280000001</v>
      </c>
      <c r="H30" s="40">
        <f>ROUND(H29*1.2,8)</f>
        <v>12.21375946</v>
      </c>
      <c r="I30" s="56">
        <v>4.0660552799999996</v>
      </c>
      <c r="J30" s="144">
        <f>ROUND(J29*1.2,8)</f>
        <v>3.8052338400000001</v>
      </c>
      <c r="K30" s="39">
        <v>6.6777560500000002</v>
      </c>
      <c r="L30" s="40">
        <f>ROUND(L29*1.2,8)</f>
        <v>1.9366487400000001</v>
      </c>
      <c r="M30" s="145">
        <f>ROUND(M29*1.2,8)</f>
        <v>1.64050316</v>
      </c>
      <c r="N30" s="56">
        <f t="shared" si="6"/>
        <v>39.182076420000001</v>
      </c>
      <c r="O30" s="49">
        <f t="shared" si="7"/>
        <v>30.402612790000003</v>
      </c>
    </row>
    <row r="31" spans="1:18" ht="31.5" x14ac:dyDescent="0.25">
      <c r="A31" s="74" t="s">
        <v>14</v>
      </c>
      <c r="B31" s="130" t="s">
        <v>10</v>
      </c>
      <c r="C31" s="33">
        <v>594</v>
      </c>
      <c r="D31" s="34">
        <v>0</v>
      </c>
      <c r="E31" s="131">
        <v>824</v>
      </c>
      <c r="F31" s="34">
        <v>0</v>
      </c>
      <c r="G31" s="33">
        <v>1124</v>
      </c>
      <c r="H31" s="132">
        <v>0</v>
      </c>
      <c r="I31" s="33">
        <v>1020</v>
      </c>
      <c r="J31" s="132">
        <v>0</v>
      </c>
      <c r="K31" s="33">
        <v>270</v>
      </c>
      <c r="L31" s="34">
        <v>0</v>
      </c>
      <c r="M31" s="133">
        <v>0</v>
      </c>
      <c r="N31" s="33">
        <f t="shared" si="6"/>
        <v>3832</v>
      </c>
      <c r="O31" s="34">
        <f t="shared" si="7"/>
        <v>0</v>
      </c>
    </row>
    <row r="32" spans="1:18" s="7" customFormat="1" ht="37.5" customHeight="1" outlineLevel="1" x14ac:dyDescent="0.25">
      <c r="A32" s="75"/>
      <c r="B32" s="68" t="s">
        <v>40</v>
      </c>
      <c r="C32" s="47">
        <v>0.10489999999999999</v>
      </c>
      <c r="D32" s="97">
        <v>0.13090299999999999</v>
      </c>
      <c r="E32" s="150">
        <v>0.10983030000000001</v>
      </c>
      <c r="F32" s="36">
        <f>ROUND(D32*$I$3,8)</f>
        <v>0.13784086000000001</v>
      </c>
      <c r="G32" s="43">
        <v>0.11499232</v>
      </c>
      <c r="H32" s="136">
        <f>ROUND(F32*$J$3,8)</f>
        <v>0.14445722</v>
      </c>
      <c r="I32" s="35">
        <v>0.12039696</v>
      </c>
      <c r="J32" s="136">
        <f>ROUND(H32*$K$3,8)</f>
        <v>0.15139116999999999</v>
      </c>
      <c r="K32" s="35">
        <v>0.12605562000000001</v>
      </c>
      <c r="L32" s="136">
        <f>ROUND(J32*$L$3,8)</f>
        <v>0.15865794999999999</v>
      </c>
      <c r="M32" s="137">
        <f>ROUND(L32*$M$3,8)</f>
        <v>0.16627353</v>
      </c>
      <c r="N32" s="46"/>
      <c r="O32" s="66"/>
    </row>
    <row r="33" spans="1:20" s="7" customFormat="1" ht="31.5" customHeight="1" collapsed="1" x14ac:dyDescent="0.25">
      <c r="A33" s="219" t="s">
        <v>4</v>
      </c>
      <c r="B33" s="138" t="s">
        <v>52</v>
      </c>
      <c r="C33" s="37">
        <v>62.310600000000001</v>
      </c>
      <c r="D33" s="38">
        <f>ROUND(D32*D31,8)</f>
        <v>0</v>
      </c>
      <c r="E33" s="139">
        <v>90.500167200000007</v>
      </c>
      <c r="F33" s="38">
        <f>ROUND(F32*F31,8)</f>
        <v>0</v>
      </c>
      <c r="G33" s="37">
        <v>129.25136767999999</v>
      </c>
      <c r="H33" s="38">
        <f>ROUND(H32*H31,8)</f>
        <v>0</v>
      </c>
      <c r="I33" s="37">
        <v>122.80489919999999</v>
      </c>
      <c r="J33" s="140">
        <f>ROUND(J32*J31,8)</f>
        <v>0</v>
      </c>
      <c r="K33" s="37">
        <v>34.035017400000001</v>
      </c>
      <c r="L33" s="38">
        <f>ROUND(L32*L31,8)</f>
        <v>0</v>
      </c>
      <c r="M33" s="141">
        <f>ROUND(M32*M31,8)</f>
        <v>0</v>
      </c>
      <c r="N33" s="37">
        <f t="shared" ref="N33:N41" si="8">C33+E33+G33+I33+K33</f>
        <v>438.90205148000007</v>
      </c>
      <c r="O33" s="38">
        <f t="shared" ref="O33:O41" si="9">D33+F33+H33+J33+L33+M33</f>
        <v>0</v>
      </c>
    </row>
    <row r="34" spans="1:20" s="7" customFormat="1" ht="31.5" customHeight="1" x14ac:dyDescent="0.25">
      <c r="A34" s="220"/>
      <c r="B34" s="142" t="s">
        <v>53</v>
      </c>
      <c r="C34" s="56">
        <v>74.772719999999993</v>
      </c>
      <c r="D34" s="40">
        <f>ROUND(D33*1.2,8)</f>
        <v>0</v>
      </c>
      <c r="E34" s="156">
        <v>108.60020064</v>
      </c>
      <c r="F34" s="40">
        <f>ROUND(F33*1.2,8)</f>
        <v>0</v>
      </c>
      <c r="G34" s="56">
        <v>155.10164122</v>
      </c>
      <c r="H34" s="40">
        <f>ROUND(H33*1.2,8)</f>
        <v>0</v>
      </c>
      <c r="I34" s="56">
        <v>147.36587904000001</v>
      </c>
      <c r="J34" s="144">
        <f>ROUND(J33*1.2,8)</f>
        <v>0</v>
      </c>
      <c r="K34" s="39">
        <v>40.84202088</v>
      </c>
      <c r="L34" s="40">
        <f>ROUND(L33*1.2,8)</f>
        <v>0</v>
      </c>
      <c r="M34" s="145">
        <f>ROUND(M33*1.2,8)</f>
        <v>0</v>
      </c>
      <c r="N34" s="56">
        <f t="shared" si="8"/>
        <v>526.68246177999993</v>
      </c>
      <c r="O34" s="49">
        <f t="shared" si="9"/>
        <v>0</v>
      </c>
    </row>
    <row r="35" spans="1:20" ht="15.75" x14ac:dyDescent="0.25">
      <c r="A35" s="217" t="s">
        <v>15</v>
      </c>
      <c r="B35" s="130" t="s">
        <v>55</v>
      </c>
      <c r="C35" s="50">
        <v>0</v>
      </c>
      <c r="D35" s="51">
        <v>0</v>
      </c>
      <c r="E35" s="157">
        <v>0</v>
      </c>
      <c r="F35" s="51">
        <v>0</v>
      </c>
      <c r="G35" s="50">
        <v>0</v>
      </c>
      <c r="H35" s="158">
        <v>0</v>
      </c>
      <c r="I35" s="50">
        <v>0</v>
      </c>
      <c r="J35" s="158">
        <v>0</v>
      </c>
      <c r="K35" s="50">
        <v>0</v>
      </c>
      <c r="L35" s="51">
        <v>0</v>
      </c>
      <c r="M35" s="159">
        <v>0</v>
      </c>
      <c r="N35" s="50">
        <f t="shared" si="8"/>
        <v>0</v>
      </c>
      <c r="O35" s="51">
        <f t="shared" si="9"/>
        <v>0</v>
      </c>
    </row>
    <row r="36" spans="1:20" ht="42" customHeight="1" x14ac:dyDescent="0.25">
      <c r="A36" s="218"/>
      <c r="B36" s="130" t="s">
        <v>54</v>
      </c>
      <c r="C36" s="50">
        <v>0</v>
      </c>
      <c r="D36" s="51">
        <v>0</v>
      </c>
      <c r="E36" s="157">
        <v>0</v>
      </c>
      <c r="F36" s="51">
        <v>0</v>
      </c>
      <c r="G36" s="50">
        <v>0</v>
      </c>
      <c r="H36" s="158">
        <v>0</v>
      </c>
      <c r="I36" s="50">
        <v>0</v>
      </c>
      <c r="J36" s="158">
        <v>0</v>
      </c>
      <c r="K36" s="50">
        <v>0</v>
      </c>
      <c r="L36" s="51">
        <v>0</v>
      </c>
      <c r="M36" s="159">
        <v>0</v>
      </c>
      <c r="N36" s="50">
        <f t="shared" si="8"/>
        <v>0</v>
      </c>
      <c r="O36" s="51">
        <f t="shared" si="9"/>
        <v>0</v>
      </c>
    </row>
    <row r="37" spans="1:20" ht="15.75" outlineLevel="1" x14ac:dyDescent="0.25">
      <c r="A37" s="77" t="s">
        <v>5</v>
      </c>
      <c r="B37" s="160" t="s">
        <v>17</v>
      </c>
      <c r="C37" s="52">
        <v>0</v>
      </c>
      <c r="D37" s="53">
        <v>0</v>
      </c>
      <c r="E37" s="161">
        <v>0</v>
      </c>
      <c r="F37" s="53">
        <v>0</v>
      </c>
      <c r="G37" s="52">
        <v>0</v>
      </c>
      <c r="H37" s="162">
        <v>0</v>
      </c>
      <c r="I37" s="52">
        <v>0</v>
      </c>
      <c r="J37" s="162">
        <v>0</v>
      </c>
      <c r="K37" s="52">
        <v>0</v>
      </c>
      <c r="L37" s="53">
        <v>0</v>
      </c>
      <c r="M37" s="163">
        <v>0</v>
      </c>
      <c r="N37" s="98">
        <f t="shared" si="8"/>
        <v>0</v>
      </c>
      <c r="O37" s="72">
        <f t="shared" si="9"/>
        <v>0</v>
      </c>
      <c r="P37" s="5"/>
      <c r="Q37" s="5"/>
      <c r="R37" s="5"/>
      <c r="S37" s="5"/>
      <c r="T37" s="5"/>
    </row>
    <row r="38" spans="1:20" ht="15.75" outlineLevel="1" x14ac:dyDescent="0.25">
      <c r="A38" s="77" t="s">
        <v>6</v>
      </c>
      <c r="B38" s="160" t="s">
        <v>18</v>
      </c>
      <c r="C38" s="52">
        <v>0</v>
      </c>
      <c r="D38" s="53">
        <v>0</v>
      </c>
      <c r="E38" s="161">
        <v>0</v>
      </c>
      <c r="F38" s="53">
        <v>0</v>
      </c>
      <c r="G38" s="52">
        <v>0</v>
      </c>
      <c r="H38" s="162">
        <v>0</v>
      </c>
      <c r="I38" s="52">
        <v>0</v>
      </c>
      <c r="J38" s="162">
        <v>0</v>
      </c>
      <c r="K38" s="52">
        <v>0</v>
      </c>
      <c r="L38" s="53">
        <v>0</v>
      </c>
      <c r="M38" s="163">
        <v>0</v>
      </c>
      <c r="N38" s="98">
        <f t="shared" si="8"/>
        <v>0</v>
      </c>
      <c r="O38" s="72">
        <f t="shared" si="9"/>
        <v>0</v>
      </c>
      <c r="P38" s="5"/>
      <c r="Q38" s="5"/>
      <c r="R38" s="5"/>
      <c r="S38" s="5"/>
      <c r="T38" s="5"/>
    </row>
    <row r="39" spans="1:20" ht="17.25" customHeight="1" x14ac:dyDescent="0.25">
      <c r="A39" s="217" t="s">
        <v>23</v>
      </c>
      <c r="B39" s="130" t="s">
        <v>73</v>
      </c>
      <c r="C39" s="50">
        <v>64.565259339999997</v>
      </c>
      <c r="D39" s="51">
        <f>D43+D47+D51+D57</f>
        <v>79.656154029999996</v>
      </c>
      <c r="E39" s="157">
        <v>158.83543645999998</v>
      </c>
      <c r="F39" s="51">
        <f>F43+F47+F51+F57</f>
        <v>71.445804539999997</v>
      </c>
      <c r="G39" s="50">
        <v>176.60423528999999</v>
      </c>
      <c r="H39" s="51">
        <f>H43+H47+H51+H57</f>
        <v>197.83950810000002</v>
      </c>
      <c r="I39" s="50">
        <v>177.34735650000002</v>
      </c>
      <c r="J39" s="158">
        <f>J43+J47+J51+J57</f>
        <v>188.69779298</v>
      </c>
      <c r="K39" s="50">
        <v>75.04774943000001</v>
      </c>
      <c r="L39" s="51">
        <f>L43+L47+L51+L57</f>
        <v>94.044011909999995</v>
      </c>
      <c r="M39" s="159">
        <f>M43+M47+M51+M57</f>
        <v>103.60554012</v>
      </c>
      <c r="N39" s="50">
        <f t="shared" si="8"/>
        <v>652.40003702000013</v>
      </c>
      <c r="O39" s="51">
        <f t="shared" si="9"/>
        <v>735.28881167999998</v>
      </c>
      <c r="P39" s="5"/>
    </row>
    <row r="40" spans="1:20" ht="15.75" x14ac:dyDescent="0.25">
      <c r="A40" s="218"/>
      <c r="B40" s="130" t="s">
        <v>74</v>
      </c>
      <c r="C40" s="50">
        <v>77.478311210000001</v>
      </c>
      <c r="D40" s="51">
        <f>ROUND(D39*1.2,8)</f>
        <v>95.587384839999999</v>
      </c>
      <c r="E40" s="157">
        <v>190.60252374999999</v>
      </c>
      <c r="F40" s="51">
        <f>ROUND(F39*1.2,8)</f>
        <v>85.734965450000004</v>
      </c>
      <c r="G40" s="50">
        <v>211.92508235</v>
      </c>
      <c r="H40" s="51">
        <f>ROUND(H39*1.2,8)</f>
        <v>237.40740972</v>
      </c>
      <c r="I40" s="50">
        <v>212.8168278</v>
      </c>
      <c r="J40" s="158">
        <f>ROUND(J39*1.2,8)</f>
        <v>226.43735158000001</v>
      </c>
      <c r="K40" s="50">
        <v>90.057299319999998</v>
      </c>
      <c r="L40" s="51">
        <f>ROUND(L39*1.2,8)</f>
        <v>112.85281429</v>
      </c>
      <c r="M40" s="159">
        <f>ROUND(M39*1.2,8)</f>
        <v>124.32664814</v>
      </c>
      <c r="N40" s="50">
        <f t="shared" si="8"/>
        <v>782.88004442999988</v>
      </c>
      <c r="O40" s="51">
        <f t="shared" si="9"/>
        <v>882.34657401999993</v>
      </c>
      <c r="P40" s="5"/>
    </row>
    <row r="41" spans="1:20" s="7" customFormat="1" ht="15.75" x14ac:dyDescent="0.25">
      <c r="A41" s="68"/>
      <c r="B41" s="68" t="s">
        <v>35</v>
      </c>
      <c r="C41" s="54">
        <v>18478</v>
      </c>
      <c r="D41" s="55">
        <f>D12</f>
        <v>30921</v>
      </c>
      <c r="E41" s="164">
        <v>70899</v>
      </c>
      <c r="F41" s="55">
        <f>F12</f>
        <v>26000</v>
      </c>
      <c r="G41" s="54">
        <v>68923</v>
      </c>
      <c r="H41" s="55">
        <f>H12</f>
        <v>75131</v>
      </c>
      <c r="I41" s="54">
        <v>69510</v>
      </c>
      <c r="J41" s="165">
        <f>J12</f>
        <v>74631</v>
      </c>
      <c r="K41" s="54">
        <v>28699</v>
      </c>
      <c r="L41" s="55">
        <f>L12</f>
        <v>35698</v>
      </c>
      <c r="M41" s="166">
        <f>M12</f>
        <v>37193</v>
      </c>
      <c r="N41" s="54">
        <f t="shared" si="8"/>
        <v>256509</v>
      </c>
      <c r="O41" s="55">
        <f t="shared" si="9"/>
        <v>279574</v>
      </c>
      <c r="P41" s="12"/>
    </row>
    <row r="42" spans="1:20" s="7" customFormat="1" ht="15.75" x14ac:dyDescent="0.25">
      <c r="A42" s="68"/>
      <c r="B42" s="68" t="s">
        <v>38</v>
      </c>
      <c r="C42" s="47">
        <v>1.69012E-3</v>
      </c>
      <c r="D42" s="97">
        <f>ROUND((0.000473+0.00017+0.00117849*1.05)*$H$3,8)</f>
        <v>1.9913600000000002E-3</v>
      </c>
      <c r="E42" s="155">
        <v>1.7695600000000001E-3</v>
      </c>
      <c r="F42" s="36">
        <f>ROUND(D42*$I$3,8)</f>
        <v>2.0969000000000001E-3</v>
      </c>
      <c r="G42" s="47">
        <v>1.8527299999999999E-3</v>
      </c>
      <c r="H42" s="136">
        <f>ROUND(F42*$J$3,8)</f>
        <v>2.1975499999999999E-3</v>
      </c>
      <c r="I42" s="47">
        <v>1.9398099999999999E-3</v>
      </c>
      <c r="J42" s="136">
        <f>ROUND(H42*$K$3,8)</f>
        <v>2.3030300000000002E-3</v>
      </c>
      <c r="K42" s="35">
        <v>2.0309799999999999E-3</v>
      </c>
      <c r="L42" s="136">
        <f>ROUND(J42*$L$3,8)</f>
        <v>2.4135799999999998E-3</v>
      </c>
      <c r="M42" s="137">
        <f>ROUND(L42*$M$3,8)</f>
        <v>2.52943E-3</v>
      </c>
      <c r="N42" s="47"/>
      <c r="O42" s="48"/>
      <c r="P42" s="12"/>
    </row>
    <row r="43" spans="1:20" ht="51" customHeight="1" x14ac:dyDescent="0.25">
      <c r="A43" s="219" t="s">
        <v>24</v>
      </c>
      <c r="B43" s="138" t="s">
        <v>56</v>
      </c>
      <c r="C43" s="37">
        <v>31.230037359999997</v>
      </c>
      <c r="D43" s="38">
        <f>ROUND(D42*D41,8)</f>
        <v>61.57484256</v>
      </c>
      <c r="E43" s="139">
        <v>125.46003444</v>
      </c>
      <c r="F43" s="38">
        <f>ROUND(F42*F41,8)</f>
        <v>54.519399999999997</v>
      </c>
      <c r="G43" s="37">
        <v>127.69570979</v>
      </c>
      <c r="H43" s="38">
        <f>ROUND(H42*H41,8)</f>
        <v>165.10412905000001</v>
      </c>
      <c r="I43" s="37">
        <v>134.8361931</v>
      </c>
      <c r="J43" s="140">
        <f>ROUND(J42*J41,8)</f>
        <v>171.87743193</v>
      </c>
      <c r="K43" s="37">
        <v>58.287095020000002</v>
      </c>
      <c r="L43" s="38">
        <f>ROUND(L42*L41,8)</f>
        <v>86.159978839999994</v>
      </c>
      <c r="M43" s="141">
        <f>ROUND(M42*M41,8)</f>
        <v>94.077089990000005</v>
      </c>
      <c r="N43" s="37">
        <f t="shared" ref="N43:N45" si="10">C43+E43+G43+I43+K43</f>
        <v>477.50906970999995</v>
      </c>
      <c r="O43" s="38">
        <f t="shared" ref="O43:O45" si="11">D43+F43+H43+J43+L43+M43</f>
        <v>633.31287236999992</v>
      </c>
    </row>
    <row r="44" spans="1:20" ht="53.25" customHeight="1" x14ac:dyDescent="0.25">
      <c r="A44" s="220"/>
      <c r="B44" s="142" t="s">
        <v>57</v>
      </c>
      <c r="C44" s="56">
        <v>37.476044829999999</v>
      </c>
      <c r="D44" s="40">
        <f>ROUND(D43*1.2,8)</f>
        <v>73.889811069999993</v>
      </c>
      <c r="E44" s="156">
        <v>150.55204133000001</v>
      </c>
      <c r="F44" s="40">
        <f>ROUND(F43*1.2,8)</f>
        <v>65.423280000000005</v>
      </c>
      <c r="G44" s="56">
        <v>153.23485174999999</v>
      </c>
      <c r="H44" s="40">
        <f>ROUND(H43*1.2,8)</f>
        <v>198.12495486</v>
      </c>
      <c r="I44" s="56">
        <v>161.80343171999999</v>
      </c>
      <c r="J44" s="144">
        <f>ROUND(J43*1.2,8)</f>
        <v>206.25291831999999</v>
      </c>
      <c r="K44" s="39">
        <v>69.94451402</v>
      </c>
      <c r="L44" s="40">
        <f>ROUND(L43*1.2,8)</f>
        <v>103.39197461000001</v>
      </c>
      <c r="M44" s="145">
        <f>ROUND(M43*1.2,8)</f>
        <v>112.89250799</v>
      </c>
      <c r="N44" s="56">
        <f t="shared" si="10"/>
        <v>573.01088364999998</v>
      </c>
      <c r="O44" s="49">
        <f t="shared" si="11"/>
        <v>759.97544685000003</v>
      </c>
    </row>
    <row r="45" spans="1:20" s="7" customFormat="1" ht="18" customHeight="1" x14ac:dyDescent="0.25">
      <c r="A45" s="68"/>
      <c r="B45" s="68" t="s">
        <v>35</v>
      </c>
      <c r="C45" s="54">
        <v>4943</v>
      </c>
      <c r="D45" s="55">
        <f>D16</f>
        <v>2177</v>
      </c>
      <c r="E45" s="164">
        <v>2152</v>
      </c>
      <c r="F45" s="55">
        <f>F16</f>
        <v>3229</v>
      </c>
      <c r="G45" s="54">
        <v>3175</v>
      </c>
      <c r="H45" s="55">
        <f>H16</f>
        <v>3362</v>
      </c>
      <c r="I45" s="54">
        <v>3356</v>
      </c>
      <c r="J45" s="165">
        <f>J16</f>
        <v>3173</v>
      </c>
      <c r="K45" s="54">
        <v>1265</v>
      </c>
      <c r="L45" s="55">
        <f>L16</f>
        <v>1329</v>
      </c>
      <c r="M45" s="166">
        <f>M16</f>
        <v>1926</v>
      </c>
      <c r="N45" s="54">
        <f t="shared" si="10"/>
        <v>14891</v>
      </c>
      <c r="O45" s="55">
        <f t="shared" si="11"/>
        <v>15196</v>
      </c>
    </row>
    <row r="46" spans="1:20" s="7" customFormat="1" ht="15.75" x14ac:dyDescent="0.25">
      <c r="A46" s="68"/>
      <c r="B46" s="68" t="s">
        <v>38</v>
      </c>
      <c r="C46" s="47">
        <v>3.08713E-3</v>
      </c>
      <c r="D46" s="97">
        <f>ROUND((0.00108+0.00017+ROUND((0.00117849*1.05),8))*$H$3,8)</f>
        <v>2.6341699999999999E-3</v>
      </c>
      <c r="E46" s="155">
        <v>3.23223E-3</v>
      </c>
      <c r="F46" s="36">
        <f>ROUND(D46*$I$3,8)</f>
        <v>2.77378E-3</v>
      </c>
      <c r="G46" s="47">
        <v>3.3841399999999999E-3</v>
      </c>
      <c r="H46" s="136">
        <f>ROUND(F46*$J$3,8)</f>
        <v>2.9069199999999999E-3</v>
      </c>
      <c r="I46" s="47">
        <v>3.5431899999999999E-3</v>
      </c>
      <c r="J46" s="136">
        <f>ROUND(H46*$K$3,8)</f>
        <v>3.04645E-3</v>
      </c>
      <c r="K46" s="35">
        <v>3.7097200000000001E-3</v>
      </c>
      <c r="L46" s="136">
        <f>ROUND(J46*$L$3,8)</f>
        <v>3.1926799999999998E-3</v>
      </c>
      <c r="M46" s="137">
        <f>ROUND(L46*$M$3,8)</f>
        <v>3.34593E-3</v>
      </c>
      <c r="N46" s="47"/>
      <c r="O46" s="48"/>
    </row>
    <row r="47" spans="1:20" ht="47.25" x14ac:dyDescent="0.25">
      <c r="A47" s="219" t="s">
        <v>25</v>
      </c>
      <c r="B47" s="138" t="s">
        <v>58</v>
      </c>
      <c r="C47" s="37">
        <v>15.259683589999998</v>
      </c>
      <c r="D47" s="38">
        <f>ROUND(D46*D45,8)</f>
        <v>5.7345880899999999</v>
      </c>
      <c r="E47" s="139">
        <v>6.9557589599999998</v>
      </c>
      <c r="F47" s="38">
        <f>ROUND(F46*F45,8)</f>
        <v>8.9565356200000004</v>
      </c>
      <c r="G47" s="37">
        <v>10.7446445</v>
      </c>
      <c r="H47" s="38">
        <f>ROUND(H46*H45,8)</f>
        <v>9.7730650400000005</v>
      </c>
      <c r="I47" s="37">
        <v>11.89094564</v>
      </c>
      <c r="J47" s="140">
        <f>ROUND(J46*J45,8)</f>
        <v>9.6663858499999993</v>
      </c>
      <c r="K47" s="37">
        <v>4.6927957999999999</v>
      </c>
      <c r="L47" s="38">
        <f>ROUND(L46*L45,8)</f>
        <v>4.2430717199999997</v>
      </c>
      <c r="M47" s="141">
        <f>ROUND(M46*M45,8)</f>
        <v>6.4442611799999998</v>
      </c>
      <c r="N47" s="37">
        <f t="shared" ref="N47:N49" si="12">C47+E47+G47+I47+K47</f>
        <v>49.543828489999996</v>
      </c>
      <c r="O47" s="38">
        <f t="shared" ref="O47:O49" si="13">D47+F47+H47+J47+L47+M47</f>
        <v>44.81790749999999</v>
      </c>
    </row>
    <row r="48" spans="1:20" ht="51" customHeight="1" x14ac:dyDescent="0.25">
      <c r="A48" s="220"/>
      <c r="B48" s="142" t="s">
        <v>59</v>
      </c>
      <c r="C48" s="56">
        <v>18.311620310000002</v>
      </c>
      <c r="D48" s="40">
        <f>ROUND(D47*1.2,8)</f>
        <v>6.8815057099999999</v>
      </c>
      <c r="E48" s="156">
        <v>8.3469107499999993</v>
      </c>
      <c r="F48" s="40">
        <f>ROUND(F47*1.2,8)</f>
        <v>10.747842739999999</v>
      </c>
      <c r="G48" s="56">
        <v>12.893573399999999</v>
      </c>
      <c r="H48" s="40">
        <f>ROUND(H47*1.2,8)</f>
        <v>11.72767805</v>
      </c>
      <c r="I48" s="56">
        <v>14.269134770000001</v>
      </c>
      <c r="J48" s="144">
        <f>ROUND(J47*1.2,8)</f>
        <v>11.599663019999999</v>
      </c>
      <c r="K48" s="39">
        <v>5.6313549600000004</v>
      </c>
      <c r="L48" s="40">
        <f>ROUND(L47*1.2,8)</f>
        <v>5.0916860599999998</v>
      </c>
      <c r="M48" s="145">
        <f>ROUND(M47*1.2,8)</f>
        <v>7.7331134199999996</v>
      </c>
      <c r="N48" s="56">
        <f t="shared" si="12"/>
        <v>59.452594190000006</v>
      </c>
      <c r="O48" s="49">
        <f t="shared" si="13"/>
        <v>53.781489000000001</v>
      </c>
    </row>
    <row r="49" spans="1:27" ht="15.75" x14ac:dyDescent="0.25">
      <c r="A49" s="68"/>
      <c r="B49" s="68" t="s">
        <v>35</v>
      </c>
      <c r="C49" s="43">
        <v>2987</v>
      </c>
      <c r="D49" s="55">
        <f>D27</f>
        <v>3473</v>
      </c>
      <c r="E49" s="150">
        <v>4264</v>
      </c>
      <c r="F49" s="55">
        <f>F27</f>
        <v>2129</v>
      </c>
      <c r="G49" s="43">
        <v>6120</v>
      </c>
      <c r="H49" s="55">
        <f>H27</f>
        <v>5853</v>
      </c>
      <c r="I49" s="43">
        <v>1764</v>
      </c>
      <c r="J49" s="165">
        <f>J27</f>
        <v>1740</v>
      </c>
      <c r="K49" s="54">
        <v>2767</v>
      </c>
      <c r="L49" s="55">
        <f>L27</f>
        <v>845</v>
      </c>
      <c r="M49" s="166">
        <f>M27</f>
        <v>683</v>
      </c>
      <c r="N49" s="43">
        <f t="shared" si="12"/>
        <v>17902</v>
      </c>
      <c r="O49" s="55">
        <f t="shared" si="13"/>
        <v>14723</v>
      </c>
    </row>
    <row r="50" spans="1:27" ht="15.75" x14ac:dyDescent="0.25">
      <c r="A50" s="68"/>
      <c r="B50" s="68" t="s">
        <v>38</v>
      </c>
      <c r="C50" s="47">
        <v>1.29655E-3</v>
      </c>
      <c r="D50" s="97">
        <f>ROUND(0.003357*$H$3,8)</f>
        <v>3.5550600000000001E-3</v>
      </c>
      <c r="E50" s="155">
        <v>1.35749E-3</v>
      </c>
      <c r="F50" s="36">
        <f>ROUND(D50*$I$3,8)</f>
        <v>3.74348E-3</v>
      </c>
      <c r="G50" s="47">
        <v>1.42129E-3</v>
      </c>
      <c r="H50" s="136">
        <f>ROUND(F50*$J$3,8)</f>
        <v>3.9231700000000001E-3</v>
      </c>
      <c r="I50" s="47">
        <v>1.4880900000000001E-3</v>
      </c>
      <c r="J50" s="136">
        <f>ROUND(H50*$K$3,8)</f>
        <v>4.1114799999999998E-3</v>
      </c>
      <c r="K50" s="35">
        <v>1.55803E-3</v>
      </c>
      <c r="L50" s="136">
        <f>ROUND(J50*$L$3,8)</f>
        <v>4.3088299999999996E-3</v>
      </c>
      <c r="M50" s="137">
        <f>ROUND(L50*$M$3,8)</f>
        <v>4.5156500000000004E-3</v>
      </c>
      <c r="N50" s="47"/>
      <c r="O50" s="48"/>
    </row>
    <row r="51" spans="1:27" ht="47.25" x14ac:dyDescent="0.25">
      <c r="A51" s="221" t="s">
        <v>26</v>
      </c>
      <c r="B51" s="138" t="s">
        <v>60</v>
      </c>
      <c r="C51" s="37">
        <v>3.87279485</v>
      </c>
      <c r="D51" s="38">
        <f>ROUND(D50*D49,8)</f>
        <v>12.34672338</v>
      </c>
      <c r="E51" s="139">
        <v>5.7883373599999999</v>
      </c>
      <c r="F51" s="38">
        <f>ROUND(F50*F49,8)</f>
        <v>7.9698689199999997</v>
      </c>
      <c r="G51" s="37">
        <v>8.6982947999999993</v>
      </c>
      <c r="H51" s="38">
        <f>ROUND(H50*H49,8)</f>
        <v>22.96231401</v>
      </c>
      <c r="I51" s="37">
        <v>2.6249907600000002</v>
      </c>
      <c r="J51" s="140">
        <f>ROUND(J50*J49,8)</f>
        <v>7.1539751999999996</v>
      </c>
      <c r="K51" s="37">
        <v>4.3110690099999998</v>
      </c>
      <c r="L51" s="38">
        <f>ROUND(L50*L49,8)</f>
        <v>3.64096135</v>
      </c>
      <c r="M51" s="141">
        <f>ROUND(M50*M49,8)</f>
        <v>3.0841889500000002</v>
      </c>
      <c r="N51" s="37">
        <f t="shared" ref="N51:N53" si="14">C51+E51+G51+I51+K51</f>
        <v>25.295486779999997</v>
      </c>
      <c r="O51" s="38">
        <f t="shared" ref="O51:O53" si="15">D51+F51+H51+J51+L51+M51</f>
        <v>57.15803180999999</v>
      </c>
    </row>
    <row r="52" spans="1:27" ht="57" customHeight="1" x14ac:dyDescent="0.25">
      <c r="A52" s="222"/>
      <c r="B52" s="142" t="s">
        <v>61</v>
      </c>
      <c r="C52" s="56">
        <v>4.6473538199999993</v>
      </c>
      <c r="D52" s="40">
        <f>ROUND(D51*1.2,8)</f>
        <v>14.816068059999999</v>
      </c>
      <c r="E52" s="156">
        <v>6.9460048299999997</v>
      </c>
      <c r="F52" s="40">
        <f>ROUND(F51*1.2,8)</f>
        <v>9.5638427000000004</v>
      </c>
      <c r="G52" s="56">
        <v>10.437953759999999</v>
      </c>
      <c r="H52" s="40">
        <f>ROUND(H51*1.2,8)</f>
        <v>27.55477681</v>
      </c>
      <c r="I52" s="56">
        <v>3.1499889099999998</v>
      </c>
      <c r="J52" s="144">
        <f>ROUND(J51*1.2,8)</f>
        <v>8.5847702399999992</v>
      </c>
      <c r="K52" s="39">
        <v>5.1732828099999999</v>
      </c>
      <c r="L52" s="40">
        <f>ROUND(L51*1.2,8)</f>
        <v>4.3691536199999996</v>
      </c>
      <c r="M52" s="145">
        <f>ROUND(M51*1.2,8)</f>
        <v>3.7010267400000001</v>
      </c>
      <c r="N52" s="56">
        <f t="shared" si="14"/>
        <v>30.354584129999999</v>
      </c>
      <c r="O52" s="49">
        <f t="shared" si="15"/>
        <v>68.589638170000001</v>
      </c>
    </row>
    <row r="53" spans="1:27" s="7" customFormat="1" ht="15.75" x14ac:dyDescent="0.25">
      <c r="A53" s="68"/>
      <c r="B53" s="68" t="s">
        <v>35</v>
      </c>
      <c r="C53" s="54">
        <v>577</v>
      </c>
      <c r="D53" s="55">
        <f>D31-D55</f>
        <v>0</v>
      </c>
      <c r="E53" s="164">
        <v>809</v>
      </c>
      <c r="F53" s="167">
        <f>F31-F55</f>
        <v>0</v>
      </c>
      <c r="G53" s="54">
        <v>1104</v>
      </c>
      <c r="H53" s="167">
        <f>H31-H55</f>
        <v>0</v>
      </c>
      <c r="I53" s="54">
        <v>1000</v>
      </c>
      <c r="J53" s="165">
        <f>J31-J55</f>
        <v>0</v>
      </c>
      <c r="K53" s="54">
        <v>260</v>
      </c>
      <c r="L53" s="55">
        <f>L31-L55</f>
        <v>0</v>
      </c>
      <c r="M53" s="166">
        <f>M31-M55</f>
        <v>0</v>
      </c>
      <c r="N53" s="54">
        <f t="shared" si="14"/>
        <v>3750</v>
      </c>
      <c r="O53" s="55">
        <f t="shared" si="15"/>
        <v>0</v>
      </c>
    </row>
    <row r="54" spans="1:27" s="7" customFormat="1" ht="15.75" x14ac:dyDescent="0.25">
      <c r="A54" s="68"/>
      <c r="B54" s="68" t="s">
        <v>75</v>
      </c>
      <c r="C54" s="47">
        <v>2.3920489999999999E-2</v>
      </c>
      <c r="D54" s="97">
        <f>ROUND(0.015089*$H$3,8)</f>
        <v>1.597925E-2</v>
      </c>
      <c r="E54" s="155">
        <v>2.5044750000000001E-2</v>
      </c>
      <c r="F54" s="36">
        <f>ROUND(D54*$I$3,8)</f>
        <v>1.6826150000000002E-2</v>
      </c>
      <c r="G54" s="47">
        <v>2.6221850000000001E-2</v>
      </c>
      <c r="H54" s="136">
        <f>ROUND(F54*$J$3,8)</f>
        <v>1.763381E-2</v>
      </c>
      <c r="I54" s="47">
        <v>2.7454280000000001E-2</v>
      </c>
      <c r="J54" s="136">
        <f>ROUND(H54*$K$3,8)</f>
        <v>1.848023E-2</v>
      </c>
      <c r="K54" s="35">
        <v>2.874463E-2</v>
      </c>
      <c r="L54" s="136">
        <f>ROUND(J54*$L$3,8)</f>
        <v>1.9367280000000001E-2</v>
      </c>
      <c r="M54" s="137">
        <f>ROUND(L54*$M$3,8)</f>
        <v>2.0296910000000001E-2</v>
      </c>
      <c r="N54" s="47"/>
      <c r="O54" s="48"/>
    </row>
    <row r="55" spans="1:27" s="7" customFormat="1" ht="15.75" x14ac:dyDescent="0.25">
      <c r="A55" s="78"/>
      <c r="B55" s="68" t="s">
        <v>35</v>
      </c>
      <c r="C55" s="70">
        <v>17</v>
      </c>
      <c r="D55" s="61">
        <v>0</v>
      </c>
      <c r="E55" s="168">
        <v>15</v>
      </c>
      <c r="F55" s="61">
        <v>0</v>
      </c>
      <c r="G55" s="70">
        <v>20</v>
      </c>
      <c r="H55" s="169">
        <v>0</v>
      </c>
      <c r="I55" s="70">
        <v>20</v>
      </c>
      <c r="J55" s="169">
        <v>0</v>
      </c>
      <c r="K55" s="70">
        <v>10</v>
      </c>
      <c r="L55" s="61">
        <v>0</v>
      </c>
      <c r="M55" s="170">
        <v>0</v>
      </c>
      <c r="N55" s="70">
        <f>C55+E55+G55+I55+K55</f>
        <v>82</v>
      </c>
      <c r="O55" s="61">
        <f>D55+F55+H55+J55+L55+M55</f>
        <v>0</v>
      </c>
    </row>
    <row r="56" spans="1:27" s="7" customFormat="1" ht="31.5" x14ac:dyDescent="0.25">
      <c r="A56" s="78"/>
      <c r="B56" s="68" t="s">
        <v>76</v>
      </c>
      <c r="C56" s="47">
        <v>2.3565929999999999E-2</v>
      </c>
      <c r="D56" s="36">
        <v>0</v>
      </c>
      <c r="E56" s="155">
        <v>2.4673529999999999E-2</v>
      </c>
      <c r="F56" s="36">
        <f>ROUND(D56*$I$3,8)</f>
        <v>0</v>
      </c>
      <c r="G56" s="47">
        <v>2.5833189999999999E-2</v>
      </c>
      <c r="H56" s="136">
        <f>ROUND(F56*$J$3,8)</f>
        <v>0</v>
      </c>
      <c r="I56" s="80">
        <v>2.7047350000000001E-2</v>
      </c>
      <c r="J56" s="136">
        <f>ROUND(H56*$K$3,8)</f>
        <v>0</v>
      </c>
      <c r="K56" s="35">
        <v>2.8318579999999999E-2</v>
      </c>
      <c r="L56" s="136">
        <f>ROUND(J56*$L$3,8)</f>
        <v>0</v>
      </c>
      <c r="M56" s="137">
        <f>ROUND(L56*$M$3,8)</f>
        <v>0</v>
      </c>
      <c r="N56" s="47"/>
      <c r="O56" s="48"/>
    </row>
    <row r="57" spans="1:27" ht="47.25" x14ac:dyDescent="0.25">
      <c r="A57" s="219" t="s">
        <v>16</v>
      </c>
      <c r="B57" s="138" t="s">
        <v>63</v>
      </c>
      <c r="C57" s="37">
        <v>14.20274354</v>
      </c>
      <c r="D57" s="38">
        <f>ROUND((D54*D53)+(D55*D56),8)</f>
        <v>0</v>
      </c>
      <c r="E57" s="139">
        <v>20.631305699999999</v>
      </c>
      <c r="F57" s="171">
        <f>ROUND((F54*F53)+(F55*F56),8)</f>
        <v>0</v>
      </c>
      <c r="G57" s="37">
        <v>29.465586200000001</v>
      </c>
      <c r="H57" s="171">
        <f>ROUND((H54*H53)+(H55*H56),8)</f>
        <v>0</v>
      </c>
      <c r="I57" s="37">
        <v>27.995227</v>
      </c>
      <c r="J57" s="140">
        <f>ROUND((J54*J53)+(J55*J56),8)</f>
        <v>0</v>
      </c>
      <c r="K57" s="37">
        <v>7.7567896000000003</v>
      </c>
      <c r="L57" s="38">
        <f>ROUND((L54*L53)+(L55*L56),8)</f>
        <v>0</v>
      </c>
      <c r="M57" s="141">
        <f>ROUND((M54*M53)+(M55*M56),8)</f>
        <v>0</v>
      </c>
      <c r="N57" s="37">
        <f t="shared" ref="N57:N64" si="16">C57+E57+G57+I57+K57</f>
        <v>100.05165204000001</v>
      </c>
      <c r="O57" s="38">
        <f t="shared" ref="O57:O64" si="17">D57+F57+H57+J57+L57+M57</f>
        <v>0</v>
      </c>
    </row>
    <row r="58" spans="1:27" ht="63.75" customHeight="1" x14ac:dyDescent="0.25">
      <c r="A58" s="220"/>
      <c r="B58" s="142" t="s">
        <v>64</v>
      </c>
      <c r="C58" s="56">
        <v>17.04329225</v>
      </c>
      <c r="D58" s="40">
        <f>ROUND(D57*1.2,8)</f>
        <v>0</v>
      </c>
      <c r="E58" s="156">
        <v>24.757566839999999</v>
      </c>
      <c r="F58" s="40">
        <f>ROUND(F57*1.2,8)</f>
        <v>0</v>
      </c>
      <c r="G58" s="56">
        <v>35.358703439999999</v>
      </c>
      <c r="H58" s="40">
        <f>ROUND(H57*1.2,8)</f>
        <v>0</v>
      </c>
      <c r="I58" s="56">
        <v>33.594272400000001</v>
      </c>
      <c r="J58" s="144">
        <f>ROUND(J57*1.2,8)</f>
        <v>0</v>
      </c>
      <c r="K58" s="39">
        <v>9.3081475200000003</v>
      </c>
      <c r="L58" s="40">
        <f>ROUND(L57*1.2,8)</f>
        <v>0</v>
      </c>
      <c r="M58" s="145">
        <f>ROUND(M57*1.2,8)</f>
        <v>0</v>
      </c>
      <c r="N58" s="56">
        <f t="shared" si="16"/>
        <v>120.06198245000002</v>
      </c>
      <c r="O58" s="49">
        <f t="shared" si="17"/>
        <v>0</v>
      </c>
    </row>
    <row r="59" spans="1:27" ht="48.75" customHeight="1" x14ac:dyDescent="0.25">
      <c r="A59" s="77" t="s">
        <v>39</v>
      </c>
      <c r="B59" s="172" t="s">
        <v>65</v>
      </c>
      <c r="C59" s="52">
        <v>0</v>
      </c>
      <c r="D59" s="53">
        <v>0</v>
      </c>
      <c r="E59" s="161">
        <v>0</v>
      </c>
      <c r="F59" s="53">
        <v>0</v>
      </c>
      <c r="G59" s="52">
        <v>0</v>
      </c>
      <c r="H59" s="162">
        <v>0</v>
      </c>
      <c r="I59" s="52">
        <v>0</v>
      </c>
      <c r="J59" s="162">
        <v>0</v>
      </c>
      <c r="K59" s="52">
        <v>0</v>
      </c>
      <c r="L59" s="53">
        <v>0</v>
      </c>
      <c r="M59" s="163">
        <v>0</v>
      </c>
      <c r="N59" s="98">
        <f t="shared" si="16"/>
        <v>0</v>
      </c>
      <c r="O59" s="72">
        <f t="shared" si="17"/>
        <v>0</v>
      </c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ht="50.25" customHeight="1" x14ac:dyDescent="0.25">
      <c r="A60" s="69"/>
      <c r="B60" s="172" t="s">
        <v>66</v>
      </c>
      <c r="C60" s="52">
        <v>0</v>
      </c>
      <c r="D60" s="53">
        <v>0</v>
      </c>
      <c r="E60" s="161">
        <v>0</v>
      </c>
      <c r="F60" s="53">
        <v>0</v>
      </c>
      <c r="G60" s="52">
        <v>0</v>
      </c>
      <c r="H60" s="162">
        <v>0</v>
      </c>
      <c r="I60" s="52">
        <v>0</v>
      </c>
      <c r="J60" s="162">
        <v>0</v>
      </c>
      <c r="K60" s="52">
        <v>0</v>
      </c>
      <c r="L60" s="53">
        <v>0</v>
      </c>
      <c r="M60" s="163">
        <v>0</v>
      </c>
      <c r="N60" s="52">
        <f t="shared" si="16"/>
        <v>0</v>
      </c>
      <c r="O60" s="53">
        <f t="shared" si="17"/>
        <v>0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 ht="15.75" x14ac:dyDescent="0.25">
      <c r="A61" s="79" t="s">
        <v>30</v>
      </c>
      <c r="B61" s="173" t="s">
        <v>27</v>
      </c>
      <c r="C61" s="57">
        <v>299.52530460000003</v>
      </c>
      <c r="D61" s="58">
        <f>D14+D25+D29+D33</f>
        <v>425.38657751</v>
      </c>
      <c r="E61" s="174">
        <v>735.37645710999993</v>
      </c>
      <c r="F61" s="58">
        <f>F14+F25+F29+F33</f>
        <v>406.08667127999996</v>
      </c>
      <c r="G61" s="57">
        <v>809.16783725999994</v>
      </c>
      <c r="H61" s="58">
        <f>H14+H25+H29+H33</f>
        <v>1091.2890555000001</v>
      </c>
      <c r="I61" s="57">
        <v>835.23893885999996</v>
      </c>
      <c r="J61" s="175">
        <f>J14+J25+J29+J33</f>
        <v>1125.33419989</v>
      </c>
      <c r="K61" s="57">
        <v>343.67427666999998</v>
      </c>
      <c r="L61" s="58">
        <f>L14+L25+L29+L33</f>
        <v>559.39928953000003</v>
      </c>
      <c r="M61" s="176">
        <f>M14+M25+M29+M33</f>
        <v>624.90304453999988</v>
      </c>
      <c r="N61" s="57">
        <f t="shared" si="16"/>
        <v>3022.9828144999997</v>
      </c>
      <c r="O61" s="58">
        <f t="shared" si="17"/>
        <v>4232.3988382499992</v>
      </c>
    </row>
    <row r="62" spans="1:27" ht="31.5" x14ac:dyDescent="0.25">
      <c r="A62" s="79" t="s">
        <v>31</v>
      </c>
      <c r="B62" s="173" t="s">
        <v>28</v>
      </c>
      <c r="C62" s="59">
        <v>64.565259339999997</v>
      </c>
      <c r="D62" s="60">
        <f>D43+D47+D51+D57</f>
        <v>79.656154029999996</v>
      </c>
      <c r="E62" s="177">
        <v>158.83543645999998</v>
      </c>
      <c r="F62" s="60">
        <f>F43+F47+F51+F57</f>
        <v>71.445804539999997</v>
      </c>
      <c r="G62" s="59">
        <v>176.60423528999999</v>
      </c>
      <c r="H62" s="60">
        <f>H43+H47+H51+H57</f>
        <v>197.83950810000002</v>
      </c>
      <c r="I62" s="59">
        <v>177.34735650000002</v>
      </c>
      <c r="J62" s="178">
        <f>J43+J47+J51+J57</f>
        <v>188.69779298</v>
      </c>
      <c r="K62" s="59">
        <v>75.04774943000001</v>
      </c>
      <c r="L62" s="60">
        <f>L43+L47+L51+L57</f>
        <v>94.044011909999995</v>
      </c>
      <c r="M62" s="179">
        <f>M43+M47+M51+M57</f>
        <v>103.60554012</v>
      </c>
      <c r="N62" s="59">
        <f t="shared" si="16"/>
        <v>652.40003702000013</v>
      </c>
      <c r="O62" s="60">
        <f t="shared" si="17"/>
        <v>735.28881167999998</v>
      </c>
      <c r="P62" s="5"/>
    </row>
    <row r="63" spans="1:27" ht="20.25" x14ac:dyDescent="0.25">
      <c r="A63" s="223" t="s">
        <v>32</v>
      </c>
      <c r="B63" s="180" t="s">
        <v>29</v>
      </c>
      <c r="C63" s="113">
        <v>364.09056394000004</v>
      </c>
      <c r="D63" s="114">
        <f>D61+D62</f>
        <v>505.04273153999998</v>
      </c>
      <c r="E63" s="181">
        <v>894.21189356999992</v>
      </c>
      <c r="F63" s="114">
        <f>F61+F62</f>
        <v>477.53247581999995</v>
      </c>
      <c r="G63" s="113">
        <v>985.77207254999996</v>
      </c>
      <c r="H63" s="114">
        <f>H61+H62</f>
        <v>1289.1285636000002</v>
      </c>
      <c r="I63" s="113">
        <v>1012.58629536</v>
      </c>
      <c r="J63" s="182">
        <f>J61+J62</f>
        <v>1314.0319928700001</v>
      </c>
      <c r="K63" s="113">
        <v>418.72202609999999</v>
      </c>
      <c r="L63" s="114">
        <f>L61+L62</f>
        <v>653.44330144000003</v>
      </c>
      <c r="M63" s="183">
        <f>M61+M62</f>
        <v>728.50858465999988</v>
      </c>
      <c r="N63" s="113">
        <f t="shared" si="16"/>
        <v>3675.3828515199993</v>
      </c>
      <c r="O63" s="114">
        <f t="shared" si="17"/>
        <v>4967.6876499299997</v>
      </c>
      <c r="P63" s="5"/>
    </row>
    <row r="64" spans="1:27" ht="21" thickBot="1" x14ac:dyDescent="0.3">
      <c r="A64" s="224"/>
      <c r="B64" s="184" t="s">
        <v>42</v>
      </c>
      <c r="C64" s="117">
        <v>436.90867673000002</v>
      </c>
      <c r="D64" s="118">
        <f>ROUND(D63*1.2,8)</f>
        <v>606.05127785000002</v>
      </c>
      <c r="E64" s="185">
        <v>1073.0542722800001</v>
      </c>
      <c r="F64" s="118">
        <f>ROUND(F63*1.2,8)</f>
        <v>573.03897098000004</v>
      </c>
      <c r="G64" s="117">
        <v>1182.92648706</v>
      </c>
      <c r="H64" s="118">
        <f>ROUND(H63*1.2,8)</f>
        <v>1546.95427632</v>
      </c>
      <c r="I64" s="117">
        <v>1215.10355443</v>
      </c>
      <c r="J64" s="186">
        <f>ROUND(J63*1.2,8)</f>
        <v>1576.8383914399999</v>
      </c>
      <c r="K64" s="117">
        <v>502.46643132000003</v>
      </c>
      <c r="L64" s="118">
        <f>ROUND(L63*1.2,8)</f>
        <v>784.13196172999994</v>
      </c>
      <c r="M64" s="187">
        <f>ROUND(M63*1.2,8)</f>
        <v>874.21030158999997</v>
      </c>
      <c r="N64" s="188">
        <f t="shared" si="16"/>
        <v>4410.45942182</v>
      </c>
      <c r="O64" s="189">
        <f t="shared" si="17"/>
        <v>5961.2251799099995</v>
      </c>
      <c r="P64" s="5"/>
    </row>
    <row r="65" spans="1:16" s="7" customFormat="1" ht="18.75" x14ac:dyDescent="0.25">
      <c r="A65" s="22"/>
      <c r="B65" s="23"/>
      <c r="C65" s="24"/>
      <c r="D65" s="24"/>
      <c r="E65" s="24"/>
      <c r="F65" s="24"/>
      <c r="G65" s="24"/>
      <c r="H65" s="25"/>
      <c r="I65" s="25"/>
      <c r="J65" s="25"/>
      <c r="K65" s="25"/>
      <c r="L65" s="25"/>
      <c r="M65" s="25"/>
      <c r="N65" s="26"/>
      <c r="O65" s="26"/>
      <c r="P65" s="12"/>
    </row>
    <row r="66" spans="1:16" s="7" customFormat="1" ht="18.75" x14ac:dyDescent="0.25">
      <c r="A66" s="22"/>
      <c r="B66" s="23"/>
      <c r="C66" s="24"/>
      <c r="D66" s="24"/>
      <c r="E66" s="24"/>
      <c r="F66" s="24"/>
      <c r="G66" s="24"/>
      <c r="H66" s="25"/>
      <c r="I66" s="25"/>
      <c r="J66" s="25"/>
      <c r="K66" s="25"/>
      <c r="L66" s="25"/>
      <c r="M66" s="25"/>
      <c r="N66" s="26"/>
      <c r="O66" s="26"/>
      <c r="P66" s="12"/>
    </row>
    <row r="67" spans="1:16" ht="44.25" customHeight="1" x14ac:dyDescent="0.35">
      <c r="A67" s="15"/>
      <c r="C67" s="16"/>
      <c r="D67" s="18" t="s">
        <v>81</v>
      </c>
      <c r="E67" s="16"/>
      <c r="F67" s="16"/>
      <c r="G67" s="16"/>
      <c r="I67" s="18"/>
      <c r="J67" s="18"/>
      <c r="K67" s="18" t="s">
        <v>33</v>
      </c>
      <c r="L67" s="18"/>
      <c r="M67" s="18"/>
      <c r="N67" s="17"/>
      <c r="O67" s="17"/>
      <c r="P67" s="5"/>
    </row>
    <row r="68" spans="1:16" ht="23.25" x14ac:dyDescent="0.35">
      <c r="A68" s="14"/>
      <c r="B68" s="13"/>
      <c r="C68" s="19"/>
      <c r="D68" s="20"/>
      <c r="E68" s="19"/>
      <c r="F68" s="20"/>
      <c r="G68" s="20"/>
      <c r="H68" s="20"/>
      <c r="I68" s="20"/>
      <c r="J68" s="20"/>
      <c r="K68" s="20"/>
      <c r="L68" s="20"/>
      <c r="M68" s="20"/>
      <c r="N68" s="19"/>
      <c r="O68" s="19"/>
      <c r="P68" s="5"/>
    </row>
  </sheetData>
  <mergeCells count="24">
    <mergeCell ref="A57:A58"/>
    <mergeCell ref="A63:A64"/>
    <mergeCell ref="A33:A34"/>
    <mergeCell ref="A35:A36"/>
    <mergeCell ref="A39:A40"/>
    <mergeCell ref="A43:A44"/>
    <mergeCell ref="A47:A48"/>
    <mergeCell ref="A51:A52"/>
    <mergeCell ref="A29:A30"/>
    <mergeCell ref="F1:M1"/>
    <mergeCell ref="A6:N6"/>
    <mergeCell ref="A8:A10"/>
    <mergeCell ref="B8:B10"/>
    <mergeCell ref="C8:D9"/>
    <mergeCell ref="E8:F9"/>
    <mergeCell ref="G8:H9"/>
    <mergeCell ref="I8:J9"/>
    <mergeCell ref="K8:L9"/>
    <mergeCell ref="M8:M10"/>
    <mergeCell ref="N8:O9"/>
    <mergeCell ref="A14:A15"/>
    <mergeCell ref="A19:A20"/>
    <mergeCell ref="A23:A24"/>
    <mergeCell ref="A25:A26"/>
  </mergeCells>
  <printOptions horizontalCentered="1"/>
  <pageMargins left="0.25" right="0.25" top="0.75" bottom="0.75" header="0.3" footer="0.3"/>
  <pageSetup paperSize="8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B68"/>
  <sheetViews>
    <sheetView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8" sqref="A8"/>
      <selection pane="bottomRight" activeCell="M13" sqref="M13"/>
    </sheetView>
  </sheetViews>
  <sheetFormatPr defaultRowHeight="15" outlineLevelRow="2" x14ac:dyDescent="0.25"/>
  <cols>
    <col min="1" max="1" width="6.42578125" style="1" customWidth="1"/>
    <col min="2" max="2" width="62.7109375" style="1" customWidth="1"/>
    <col min="3" max="3" width="21" style="1" customWidth="1"/>
    <col min="4" max="4" width="21.42578125" style="1" customWidth="1"/>
    <col min="5" max="5" width="21" style="1" customWidth="1"/>
    <col min="6" max="7" width="20.7109375" style="1" customWidth="1"/>
    <col min="8" max="8" width="21.140625" style="1" customWidth="1"/>
    <col min="9" max="9" width="23.42578125" style="1" bestFit="1" customWidth="1"/>
    <col min="10" max="13" width="23.42578125" style="1" customWidth="1"/>
    <col min="14" max="14" width="24.140625" style="1" customWidth="1"/>
    <col min="15" max="15" width="22.7109375" style="1" customWidth="1"/>
    <col min="16" max="16" width="17" style="1" bestFit="1" customWidth="1"/>
    <col min="17" max="17" width="15.140625" style="1" bestFit="1" customWidth="1"/>
    <col min="18" max="18" width="25.5703125" style="1" customWidth="1"/>
    <col min="19" max="19" width="38" style="1" bestFit="1" customWidth="1"/>
    <col min="20" max="20" width="13" style="1" customWidth="1"/>
    <col min="21" max="21" width="16.28515625" style="1" customWidth="1"/>
    <col min="22" max="22" width="14.85546875" style="1" customWidth="1"/>
    <col min="23" max="23" width="17.28515625" style="1" customWidth="1"/>
    <col min="24" max="24" width="15.85546875" style="1" customWidth="1"/>
    <col min="25" max="25" width="14.85546875" style="1" customWidth="1"/>
    <col min="26" max="16384" width="9.140625" style="1"/>
  </cols>
  <sheetData>
    <row r="1" spans="1:21" ht="36" customHeight="1" x14ac:dyDescent="0.25">
      <c r="F1" s="206" t="s">
        <v>78</v>
      </c>
      <c r="G1" s="206"/>
      <c r="H1" s="206"/>
      <c r="I1" s="206"/>
      <c r="J1" s="206"/>
      <c r="K1" s="206"/>
      <c r="L1" s="206"/>
      <c r="M1" s="206"/>
      <c r="N1" s="84"/>
      <c r="O1" s="82"/>
    </row>
    <row r="2" spans="1:21" x14ac:dyDescent="0.25">
      <c r="D2" s="83">
        <f>C63-D63</f>
        <v>5.234859999973196E-3</v>
      </c>
      <c r="F2" s="30" t="s">
        <v>67</v>
      </c>
      <c r="G2" s="30" t="s">
        <v>68</v>
      </c>
      <c r="H2" s="30" t="s">
        <v>69</v>
      </c>
      <c r="I2" s="30" t="s">
        <v>70</v>
      </c>
      <c r="J2" s="30" t="s">
        <v>71</v>
      </c>
      <c r="K2" s="30" t="s">
        <v>72</v>
      </c>
      <c r="L2" s="30" t="s">
        <v>77</v>
      </c>
      <c r="M2" s="30" t="s">
        <v>79</v>
      </c>
      <c r="O2" s="71"/>
    </row>
    <row r="3" spans="1:21" x14ac:dyDescent="0.25">
      <c r="D3" s="8"/>
      <c r="F3" s="29">
        <v>1.0509999999999999</v>
      </c>
      <c r="G3" s="29">
        <v>1.0509999999999999</v>
      </c>
      <c r="H3" s="29">
        <v>1.0589999999999999</v>
      </c>
      <c r="I3" s="29">
        <v>1.0529999999999999</v>
      </c>
      <c r="J3" s="29">
        <v>1.048</v>
      </c>
      <c r="K3" s="29">
        <v>1.048</v>
      </c>
      <c r="L3" s="30">
        <v>1.048</v>
      </c>
      <c r="M3" s="30">
        <v>1.048</v>
      </c>
      <c r="O3" s="71"/>
      <c r="P3" s="71"/>
      <c r="Q3" s="71"/>
      <c r="R3" s="71"/>
      <c r="S3" s="71"/>
      <c r="T3" s="71"/>
      <c r="U3" s="71"/>
    </row>
    <row r="4" spans="1:21" ht="20.25" x14ac:dyDescent="0.3">
      <c r="B4" s="2"/>
      <c r="D4" s="83"/>
      <c r="F4" s="8">
        <v>203</v>
      </c>
      <c r="G4" s="8"/>
      <c r="H4" s="8"/>
      <c r="I4" s="8"/>
      <c r="J4" s="8"/>
      <c r="K4" s="8"/>
      <c r="L4" s="8"/>
      <c r="M4" s="8"/>
      <c r="N4" s="3"/>
      <c r="O4" s="27"/>
      <c r="P4" s="71"/>
      <c r="Q4" s="71"/>
      <c r="R4" s="71"/>
      <c r="S4" s="71"/>
      <c r="T4" s="71"/>
      <c r="U4" s="71"/>
    </row>
    <row r="5" spans="1:21" x14ac:dyDescent="0.25">
      <c r="D5" s="8"/>
      <c r="F5" s="8">
        <f>F4-F63</f>
        <v>2.2549376200000211</v>
      </c>
      <c r="H5" s="8"/>
      <c r="J5" s="8"/>
      <c r="K5" s="8"/>
      <c r="L5" s="8"/>
      <c r="M5" s="8"/>
      <c r="P5" s="81"/>
      <c r="Q5" s="81"/>
      <c r="R5" s="81"/>
      <c r="S5" s="81"/>
      <c r="T5" s="71"/>
      <c r="U5" s="71"/>
    </row>
    <row r="6" spans="1:21" ht="20.25" x14ac:dyDescent="0.25">
      <c r="A6" s="210" t="s">
        <v>86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P6" s="71"/>
      <c r="Q6" s="71"/>
      <c r="R6" s="71"/>
      <c r="S6" s="71"/>
      <c r="T6" s="71"/>
      <c r="U6" s="71"/>
    </row>
    <row r="7" spans="1:21" ht="16.5" thickBot="1" x14ac:dyDescent="0.3">
      <c r="N7" s="4"/>
      <c r="P7" s="71"/>
      <c r="Q7" s="71"/>
      <c r="R7" s="71"/>
      <c r="S7" s="71"/>
      <c r="T7" s="71"/>
      <c r="U7" s="71"/>
    </row>
    <row r="8" spans="1:21" ht="15.75" customHeight="1" x14ac:dyDescent="0.25">
      <c r="A8" s="211" t="s">
        <v>8</v>
      </c>
      <c r="B8" s="229" t="s">
        <v>7</v>
      </c>
      <c r="C8" s="202">
        <v>2023</v>
      </c>
      <c r="D8" s="203"/>
      <c r="E8" s="231">
        <v>2024</v>
      </c>
      <c r="F8" s="232"/>
      <c r="G8" s="235">
        <v>2025</v>
      </c>
      <c r="H8" s="232"/>
      <c r="I8" s="235">
        <v>2026</v>
      </c>
      <c r="J8" s="231"/>
      <c r="K8" s="239">
        <v>2027</v>
      </c>
      <c r="L8" s="240"/>
      <c r="M8" s="243">
        <v>2028</v>
      </c>
      <c r="N8" s="194" t="s">
        <v>0</v>
      </c>
      <c r="O8" s="194"/>
      <c r="P8" s="71"/>
      <c r="Q8" s="71"/>
      <c r="R8" s="71"/>
      <c r="S8" s="71"/>
      <c r="T8" s="71"/>
      <c r="U8" s="71"/>
    </row>
    <row r="9" spans="1:21" ht="15.75" customHeight="1" thickBot="1" x14ac:dyDescent="0.3">
      <c r="A9" s="212"/>
      <c r="B9" s="230"/>
      <c r="C9" s="204"/>
      <c r="D9" s="205"/>
      <c r="E9" s="233"/>
      <c r="F9" s="234"/>
      <c r="G9" s="236"/>
      <c r="H9" s="234"/>
      <c r="I9" s="237"/>
      <c r="J9" s="238"/>
      <c r="K9" s="241"/>
      <c r="L9" s="242"/>
      <c r="M9" s="244"/>
      <c r="N9" s="196"/>
      <c r="O9" s="196"/>
      <c r="P9" s="71"/>
      <c r="Q9" s="71"/>
      <c r="R9" s="71"/>
      <c r="S9" s="71"/>
      <c r="T9" s="71"/>
      <c r="U9" s="71"/>
    </row>
    <row r="10" spans="1:21" ht="16.5" thickBot="1" x14ac:dyDescent="0.3">
      <c r="A10" s="213"/>
      <c r="B10" s="225"/>
      <c r="C10" s="125" t="s">
        <v>19</v>
      </c>
      <c r="D10" s="124" t="s">
        <v>20</v>
      </c>
      <c r="E10" s="123" t="s">
        <v>19</v>
      </c>
      <c r="F10" s="124" t="s">
        <v>20</v>
      </c>
      <c r="G10" s="125" t="s">
        <v>19</v>
      </c>
      <c r="H10" s="126" t="s">
        <v>20</v>
      </c>
      <c r="I10" s="120" t="s">
        <v>19</v>
      </c>
      <c r="J10" s="127" t="s">
        <v>20</v>
      </c>
      <c r="K10" s="120" t="s">
        <v>19</v>
      </c>
      <c r="L10" s="121" t="s">
        <v>20</v>
      </c>
      <c r="M10" s="245"/>
      <c r="N10" s="190" t="s">
        <v>19</v>
      </c>
      <c r="O10" s="191" t="s">
        <v>20</v>
      </c>
    </row>
    <row r="11" spans="1:21" x14ac:dyDescent="0.25">
      <c r="A11" s="73">
        <v>1</v>
      </c>
      <c r="B11" s="73">
        <v>2</v>
      </c>
      <c r="C11" s="31">
        <v>5</v>
      </c>
      <c r="D11" s="32">
        <v>7</v>
      </c>
      <c r="E11" s="128">
        <v>9</v>
      </c>
      <c r="F11" s="32">
        <v>10</v>
      </c>
      <c r="G11" s="31">
        <v>11</v>
      </c>
      <c r="H11" s="129">
        <v>12</v>
      </c>
      <c r="I11" s="31">
        <v>13</v>
      </c>
      <c r="J11" s="129">
        <v>14</v>
      </c>
      <c r="K11" s="31">
        <v>15</v>
      </c>
      <c r="L11" s="32">
        <v>16</v>
      </c>
      <c r="M11" s="67">
        <v>17</v>
      </c>
      <c r="N11" s="128">
        <v>18</v>
      </c>
      <c r="O11" s="32">
        <v>19</v>
      </c>
      <c r="P11" s="63"/>
      <c r="Q11" s="63" t="s">
        <v>83</v>
      </c>
      <c r="R11" s="63" t="s">
        <v>82</v>
      </c>
      <c r="S11" s="63" t="s">
        <v>87</v>
      </c>
    </row>
    <row r="12" spans="1:21" ht="15.75" x14ac:dyDescent="0.25">
      <c r="A12" s="74" t="s">
        <v>11</v>
      </c>
      <c r="B12" s="130" t="s">
        <v>22</v>
      </c>
      <c r="C12" s="33">
        <v>17685</v>
      </c>
      <c r="D12" s="34">
        <v>14391</v>
      </c>
      <c r="E12" s="131">
        <v>15748</v>
      </c>
      <c r="F12" s="34">
        <v>11207</v>
      </c>
      <c r="G12" s="33">
        <v>12826</v>
      </c>
      <c r="H12" s="132">
        <f>9147+3670</f>
        <v>12817</v>
      </c>
      <c r="I12" s="33">
        <v>15084</v>
      </c>
      <c r="J12" s="132">
        <f>11372+3670</f>
        <v>15042</v>
      </c>
      <c r="K12" s="33">
        <v>16719</v>
      </c>
      <c r="L12" s="34">
        <f>14597+3670</f>
        <v>18267</v>
      </c>
      <c r="M12" s="85">
        <f>15179+3670</f>
        <v>18849</v>
      </c>
      <c r="N12" s="131">
        <f>C12+E12+G12+I12+K12</f>
        <v>78062</v>
      </c>
      <c r="O12" s="132">
        <f>D12+F12+H12+J12+L12+M12</f>
        <v>90573</v>
      </c>
      <c r="P12" s="62"/>
      <c r="Q12" s="62">
        <f>R12-O12</f>
        <v>0</v>
      </c>
      <c r="R12" s="62">
        <v>90573</v>
      </c>
      <c r="S12" s="62">
        <v>14680</v>
      </c>
    </row>
    <row r="13" spans="1:21" ht="31.5" outlineLevel="1" x14ac:dyDescent="0.25">
      <c r="A13" s="75"/>
      <c r="B13" s="68" t="s">
        <v>40</v>
      </c>
      <c r="C13" s="35">
        <v>8.0773000000000008E-3</v>
      </c>
      <c r="D13" s="97">
        <v>1.21044E-2</v>
      </c>
      <c r="E13" s="135">
        <v>8.4569299999999997E-3</v>
      </c>
      <c r="F13" s="36">
        <f>ROUND(D13*$I$3,8)</f>
        <v>1.2745930000000001E-2</v>
      </c>
      <c r="G13" s="35">
        <v>8.8544100000000001E-3</v>
      </c>
      <c r="H13" s="136">
        <f>ROUND(F13*$J$3,8)</f>
        <v>1.335773E-2</v>
      </c>
      <c r="I13" s="35">
        <v>9.2705700000000005E-3</v>
      </c>
      <c r="J13" s="136">
        <f>ROUND(H13*$K$3,8)</f>
        <v>1.39989E-2</v>
      </c>
      <c r="K13" s="35">
        <v>9.7062899999999994E-3</v>
      </c>
      <c r="L13" s="136">
        <f>ROUND(J13*$L$3,8)</f>
        <v>1.4670849999999999E-2</v>
      </c>
      <c r="M13" s="86">
        <f>ROUND(L13*$M$3,8)</f>
        <v>1.5375049999999999E-2</v>
      </c>
      <c r="N13" s="152"/>
      <c r="O13" s="66"/>
      <c r="P13" s="10"/>
      <c r="Q13" s="7"/>
      <c r="R13" s="7"/>
      <c r="S13" s="7"/>
    </row>
    <row r="14" spans="1:21" ht="39" customHeight="1" collapsed="1" x14ac:dyDescent="0.25">
      <c r="A14" s="219" t="s">
        <v>34</v>
      </c>
      <c r="B14" s="138" t="s">
        <v>43</v>
      </c>
      <c r="C14" s="37">
        <v>142.84705049999999</v>
      </c>
      <c r="D14" s="38">
        <f>ROUND(D13*D12,8)</f>
        <v>174.19442040000001</v>
      </c>
      <c r="E14" s="139">
        <v>133.17973363999999</v>
      </c>
      <c r="F14" s="38">
        <f>ROUND(F13*F12,8)</f>
        <v>142.84363751000001</v>
      </c>
      <c r="G14" s="37">
        <v>113.56666266000001</v>
      </c>
      <c r="H14" s="38">
        <f>ROUND(H13*H12,8)</f>
        <v>171.20602541</v>
      </c>
      <c r="I14" s="37">
        <v>139.83727787999999</v>
      </c>
      <c r="J14" s="140">
        <f>ROUND(J13*J12,8)</f>
        <v>210.5714538</v>
      </c>
      <c r="K14" s="37">
        <v>162.27946251</v>
      </c>
      <c r="L14" s="38">
        <f>ROUND(L13*L12,8)</f>
        <v>267.99241695000001</v>
      </c>
      <c r="M14" s="87">
        <f>ROUND(M13*M12,8)</f>
        <v>289.80431744999999</v>
      </c>
      <c r="N14" s="139">
        <f t="shared" ref="N14:N17" si="0">C14+E14+G14+I14+K14</f>
        <v>691.71018719000006</v>
      </c>
      <c r="O14" s="38">
        <f t="shared" ref="O14:O17" si="1">D14+F14+H14+J14+L14+M14</f>
        <v>1256.6122715199999</v>
      </c>
      <c r="P14" s="10"/>
      <c r="Q14" s="7"/>
      <c r="R14" s="7"/>
      <c r="S14" s="7"/>
    </row>
    <row r="15" spans="1:21" ht="39" customHeight="1" x14ac:dyDescent="0.25">
      <c r="A15" s="220"/>
      <c r="B15" s="142" t="s">
        <v>44</v>
      </c>
      <c r="C15" s="39">
        <v>171.41646059999999</v>
      </c>
      <c r="D15" s="40">
        <f>ROUND(D14*1.2,8)</f>
        <v>209.03330448</v>
      </c>
      <c r="E15" s="143">
        <v>159.81568037</v>
      </c>
      <c r="F15" s="40">
        <f>ROUND(F14*1.2,8)</f>
        <v>171.41236501</v>
      </c>
      <c r="G15" s="39">
        <v>136.27999518999999</v>
      </c>
      <c r="H15" s="40">
        <f>ROUND(H14*1.2,8)</f>
        <v>205.44723049000001</v>
      </c>
      <c r="I15" s="39">
        <v>167.80473345999999</v>
      </c>
      <c r="J15" s="144">
        <f>ROUND(J14*1.2,8)</f>
        <v>252.68574455999999</v>
      </c>
      <c r="K15" s="39">
        <v>194.73535501000001</v>
      </c>
      <c r="L15" s="40">
        <f>ROUND(L14*1.2,8)</f>
        <v>321.59090034000002</v>
      </c>
      <c r="M15" s="88">
        <f>ROUND(M14*1.2,8)</f>
        <v>347.76518093999999</v>
      </c>
      <c r="N15" s="143">
        <f t="shared" si="0"/>
        <v>830.05222462999996</v>
      </c>
      <c r="O15" s="40">
        <f t="shared" si="1"/>
        <v>1507.93472582</v>
      </c>
      <c r="P15" s="10"/>
      <c r="Q15" s="7"/>
      <c r="R15" s="7"/>
      <c r="S15" s="7"/>
    </row>
    <row r="16" spans="1:21" ht="15.75" x14ac:dyDescent="0.25">
      <c r="A16" s="74" t="s">
        <v>12</v>
      </c>
      <c r="B16" s="130" t="s">
        <v>21</v>
      </c>
      <c r="C16" s="33">
        <v>431</v>
      </c>
      <c r="D16" s="34">
        <f>D17+D21</f>
        <v>291</v>
      </c>
      <c r="E16" s="131">
        <v>147</v>
      </c>
      <c r="F16" s="34">
        <f>F17+F21</f>
        <v>504</v>
      </c>
      <c r="G16" s="33">
        <v>201</v>
      </c>
      <c r="H16" s="132">
        <f>H17+H21</f>
        <v>123</v>
      </c>
      <c r="I16" s="33">
        <v>444</v>
      </c>
      <c r="J16" s="132">
        <f>J17+J21</f>
        <v>475</v>
      </c>
      <c r="K16" s="33">
        <v>1676</v>
      </c>
      <c r="L16" s="34">
        <f>L17+L21</f>
        <v>1665</v>
      </c>
      <c r="M16" s="85">
        <f>M17+M21</f>
        <v>454</v>
      </c>
      <c r="N16" s="131">
        <f t="shared" si="0"/>
        <v>2899</v>
      </c>
      <c r="O16" s="132">
        <f t="shared" si="1"/>
        <v>3512</v>
      </c>
      <c r="P16" s="63"/>
      <c r="Q16" s="63"/>
      <c r="R16" s="63"/>
      <c r="S16" s="63"/>
    </row>
    <row r="17" spans="1:19" s="7" customFormat="1" ht="30" outlineLevel="1" x14ac:dyDescent="0.25">
      <c r="A17" s="76" t="s">
        <v>1</v>
      </c>
      <c r="B17" s="146" t="s">
        <v>36</v>
      </c>
      <c r="C17" s="41">
        <v>230</v>
      </c>
      <c r="D17" s="42">
        <v>100</v>
      </c>
      <c r="E17" s="147">
        <v>56</v>
      </c>
      <c r="F17" s="42">
        <v>305</v>
      </c>
      <c r="G17" s="41">
        <v>94</v>
      </c>
      <c r="H17" s="148">
        <v>51</v>
      </c>
      <c r="I17" s="41">
        <v>224</v>
      </c>
      <c r="J17" s="148">
        <v>253</v>
      </c>
      <c r="K17" s="41">
        <v>187</v>
      </c>
      <c r="L17" s="42">
        <v>174</v>
      </c>
      <c r="M17" s="89">
        <v>218</v>
      </c>
      <c r="N17" s="147">
        <f t="shared" si="0"/>
        <v>791</v>
      </c>
      <c r="O17" s="148">
        <f t="shared" si="1"/>
        <v>1101</v>
      </c>
      <c r="P17" s="62"/>
      <c r="Q17" s="62">
        <f>R17-O17</f>
        <v>0</v>
      </c>
      <c r="R17" s="64">
        <v>1101</v>
      </c>
      <c r="S17" s="64"/>
    </row>
    <row r="18" spans="1:19" s="7" customFormat="1" ht="31.5" outlineLevel="2" x14ac:dyDescent="0.25">
      <c r="A18" s="75"/>
      <c r="B18" s="68" t="s">
        <v>40</v>
      </c>
      <c r="C18" s="43">
        <v>1.6784E-2</v>
      </c>
      <c r="D18" s="97">
        <v>2.1429070000000001E-2</v>
      </c>
      <c r="E18" s="150">
        <v>1.7572850000000001E-2</v>
      </c>
      <c r="F18" s="36">
        <f>ROUND(D18*$I$3,8)</f>
        <v>2.2564810000000001E-2</v>
      </c>
      <c r="G18" s="43">
        <v>1.8398769999999998E-2</v>
      </c>
      <c r="H18" s="136">
        <f>ROUND(F18*$J$3,8)</f>
        <v>2.3647919999999999E-2</v>
      </c>
      <c r="I18" s="35">
        <v>1.9263510000000001E-2</v>
      </c>
      <c r="J18" s="136">
        <f>ROUND(H18*$K$3,8)</f>
        <v>2.4783019999999999E-2</v>
      </c>
      <c r="K18" s="35">
        <v>2.0168889999999998E-2</v>
      </c>
      <c r="L18" s="136">
        <f>ROUND(J18*$L$3,8)</f>
        <v>2.5972599999999998E-2</v>
      </c>
      <c r="M18" s="86">
        <f>ROUND(L18*$M$3,8)</f>
        <v>2.7219279999999998E-2</v>
      </c>
      <c r="N18" s="152"/>
      <c r="O18" s="66"/>
      <c r="P18" s="10"/>
    </row>
    <row r="19" spans="1:19" s="7" customFormat="1" ht="31.5" outlineLevel="2" collapsed="1" x14ac:dyDescent="0.25">
      <c r="A19" s="219"/>
      <c r="B19" s="138" t="s">
        <v>45</v>
      </c>
      <c r="C19" s="44">
        <v>3.8603200000000002</v>
      </c>
      <c r="D19" s="38">
        <f>ROUND(D18*D17,8)</f>
        <v>2.1429070000000001</v>
      </c>
      <c r="E19" s="151">
        <v>0.98407960000000005</v>
      </c>
      <c r="F19" s="38">
        <f>ROUND(F18*F17,8)</f>
        <v>6.8822670500000003</v>
      </c>
      <c r="G19" s="44">
        <v>1.7294843799999999</v>
      </c>
      <c r="H19" s="38">
        <f>ROUND(H18*H17,8)</f>
        <v>1.2060439199999999</v>
      </c>
      <c r="I19" s="44">
        <v>4.3150262399999999</v>
      </c>
      <c r="J19" s="140">
        <f>ROUND(J18*J17,8)</f>
        <v>6.2701040600000004</v>
      </c>
      <c r="K19" s="37">
        <v>3.77158243</v>
      </c>
      <c r="L19" s="38">
        <f>ROUND(L18*L17,8)</f>
        <v>4.5192323999999999</v>
      </c>
      <c r="M19" s="87">
        <f>ROUND(M18*M17,8)</f>
        <v>5.9338030399999999</v>
      </c>
      <c r="N19" s="139">
        <f t="shared" ref="N19:N21" si="2">C19+E19+G19+I19+K19</f>
        <v>14.66049265</v>
      </c>
      <c r="O19" s="38">
        <f t="shared" ref="O19:O21" si="3">D19+F19+H19+J19+L19+M19</f>
        <v>26.954357470000001</v>
      </c>
      <c r="P19" s="10"/>
    </row>
    <row r="20" spans="1:19" s="7" customFormat="1" ht="32.25" customHeight="1" outlineLevel="2" x14ac:dyDescent="0.25">
      <c r="A20" s="220"/>
      <c r="B20" s="142" t="s">
        <v>46</v>
      </c>
      <c r="C20" s="39">
        <v>4.6323840000000001</v>
      </c>
      <c r="D20" s="40">
        <f>ROUND(D19*1.2,8)</f>
        <v>2.5714883999999998</v>
      </c>
      <c r="E20" s="143">
        <v>1.18089552</v>
      </c>
      <c r="F20" s="40">
        <f>ROUND(F19*1.2,8)</f>
        <v>8.2587204599999993</v>
      </c>
      <c r="G20" s="39">
        <v>2.0753812599999999</v>
      </c>
      <c r="H20" s="40">
        <f>ROUND(H19*1.2,8)</f>
        <v>1.4472526999999999</v>
      </c>
      <c r="I20" s="39">
        <v>5.1780314900000004</v>
      </c>
      <c r="J20" s="144">
        <f>ROUND(J19*1.2,8)</f>
        <v>7.5241248699999996</v>
      </c>
      <c r="K20" s="39">
        <v>4.5258989200000004</v>
      </c>
      <c r="L20" s="40">
        <f>ROUND(L19*1.2,8)</f>
        <v>5.4230788800000003</v>
      </c>
      <c r="M20" s="88">
        <f>ROUND(M19*1.2,8)</f>
        <v>7.1205636500000002</v>
      </c>
      <c r="N20" s="156">
        <f t="shared" si="2"/>
        <v>17.59259119</v>
      </c>
      <c r="O20" s="49">
        <f t="shared" si="3"/>
        <v>32.34522896</v>
      </c>
      <c r="P20" s="63"/>
      <c r="Q20" s="63"/>
      <c r="R20" s="63"/>
      <c r="S20" s="63"/>
    </row>
    <row r="21" spans="1:19" s="7" customFormat="1" ht="30" outlineLevel="1" x14ac:dyDescent="0.25">
      <c r="A21" s="76" t="s">
        <v>2</v>
      </c>
      <c r="B21" s="146" t="s">
        <v>37</v>
      </c>
      <c r="C21" s="41">
        <v>201</v>
      </c>
      <c r="D21" s="42">
        <v>191</v>
      </c>
      <c r="E21" s="147">
        <v>91</v>
      </c>
      <c r="F21" s="42">
        <v>199</v>
      </c>
      <c r="G21" s="41">
        <v>107</v>
      </c>
      <c r="H21" s="148">
        <v>72</v>
      </c>
      <c r="I21" s="41">
        <v>220</v>
      </c>
      <c r="J21" s="148">
        <v>222</v>
      </c>
      <c r="K21" s="41">
        <v>1489</v>
      </c>
      <c r="L21" s="42">
        <v>1491</v>
      </c>
      <c r="M21" s="89">
        <v>236</v>
      </c>
      <c r="N21" s="147">
        <f t="shared" si="2"/>
        <v>2108</v>
      </c>
      <c r="O21" s="148">
        <f t="shared" si="3"/>
        <v>2411</v>
      </c>
      <c r="P21" s="62"/>
      <c r="Q21" s="62">
        <f>R21-O21</f>
        <v>0</v>
      </c>
      <c r="R21" s="64">
        <v>2411</v>
      </c>
      <c r="S21" s="64"/>
    </row>
    <row r="22" spans="1:19" s="7" customFormat="1" ht="31.5" outlineLevel="2" x14ac:dyDescent="0.25">
      <c r="A22" s="75"/>
      <c r="B22" s="68" t="s">
        <v>40</v>
      </c>
      <c r="C22" s="46">
        <v>1.6784E-2</v>
      </c>
      <c r="D22" s="97">
        <v>2.032202E-2</v>
      </c>
      <c r="E22" s="152">
        <v>1.7572850000000001E-2</v>
      </c>
      <c r="F22" s="36">
        <f>ROUND(D22*$I$3,8)</f>
        <v>2.1399089999999999E-2</v>
      </c>
      <c r="G22" s="46">
        <v>1.8398769999999998E-2</v>
      </c>
      <c r="H22" s="136">
        <f>ROUND(F22*$J$3,8)</f>
        <v>2.2426249999999998E-2</v>
      </c>
      <c r="I22" s="35">
        <v>1.9263510000000001E-2</v>
      </c>
      <c r="J22" s="136">
        <f>ROUND(H22*$K$3,8)</f>
        <v>2.350271E-2</v>
      </c>
      <c r="K22" s="35">
        <v>2.0168889999999998E-2</v>
      </c>
      <c r="L22" s="136">
        <f>ROUND(J22*$L$3,8)</f>
        <v>2.4630840000000001E-2</v>
      </c>
      <c r="M22" s="86">
        <f>ROUND(L22*$M$3,8)</f>
        <v>2.5813119999999998E-2</v>
      </c>
      <c r="N22" s="152"/>
      <c r="O22" s="66"/>
      <c r="P22" s="10"/>
    </row>
    <row r="23" spans="1:19" s="7" customFormat="1" ht="31.5" outlineLevel="2" collapsed="1" x14ac:dyDescent="0.25">
      <c r="A23" s="219"/>
      <c r="B23" s="138" t="s">
        <v>47</v>
      </c>
      <c r="C23" s="37">
        <v>3.3735840000000001</v>
      </c>
      <c r="D23" s="38">
        <f>ROUND(D22*D21,8)</f>
        <v>3.8815058200000001</v>
      </c>
      <c r="E23" s="139">
        <v>1.5991293499999999</v>
      </c>
      <c r="F23" s="38">
        <f>ROUND(F22*F21,8)</f>
        <v>4.2584189099999996</v>
      </c>
      <c r="G23" s="44">
        <v>1.9686683899999999</v>
      </c>
      <c r="H23" s="38">
        <f>ROUND(H22*H21,8)</f>
        <v>1.61469</v>
      </c>
      <c r="I23" s="44">
        <v>4.2379721999999997</v>
      </c>
      <c r="J23" s="140">
        <f>ROUND(J22*J21,8)</f>
        <v>5.2176016199999999</v>
      </c>
      <c r="K23" s="37">
        <v>30.031477209999998</v>
      </c>
      <c r="L23" s="38">
        <f>ROUND(L22*L21,8)</f>
        <v>36.724582439999999</v>
      </c>
      <c r="M23" s="87">
        <f>ROUND(M22*M21,8)</f>
        <v>6.09189632</v>
      </c>
      <c r="N23" s="139">
        <f t="shared" ref="N23:N27" si="4">C23+E23+G23+I23+K23</f>
        <v>41.210831149999997</v>
      </c>
      <c r="O23" s="38">
        <f t="shared" ref="O23:O27" si="5">D23+F23+H23+J23+L23+M23</f>
        <v>57.788695110000006</v>
      </c>
      <c r="P23" s="10"/>
    </row>
    <row r="24" spans="1:19" s="7" customFormat="1" ht="31.5" outlineLevel="2" x14ac:dyDescent="0.25">
      <c r="A24" s="220"/>
      <c r="B24" s="142" t="s">
        <v>48</v>
      </c>
      <c r="C24" s="39">
        <v>4.0483007999999998</v>
      </c>
      <c r="D24" s="40">
        <f>ROUND(D23*1.2,8)</f>
        <v>4.6578069800000002</v>
      </c>
      <c r="E24" s="143">
        <v>1.91895522</v>
      </c>
      <c r="F24" s="40">
        <f>ROUND(F23*1.2,8)</f>
        <v>5.1101026899999997</v>
      </c>
      <c r="G24" s="39">
        <v>2.3624020699999999</v>
      </c>
      <c r="H24" s="40">
        <f>ROUND(H23*1.2,8)</f>
        <v>1.9376279999999999</v>
      </c>
      <c r="I24" s="39">
        <v>5.0855666399999997</v>
      </c>
      <c r="J24" s="144">
        <f>ROUND(J23*1.2,8)</f>
        <v>6.2611219399999998</v>
      </c>
      <c r="K24" s="39">
        <v>36.037772650000001</v>
      </c>
      <c r="L24" s="40">
        <f>ROUND(L23*1.2,8)</f>
        <v>44.069498930000002</v>
      </c>
      <c r="M24" s="88">
        <f>ROUND(M23*1.2,8)</f>
        <v>7.3102755799999999</v>
      </c>
      <c r="N24" s="156">
        <f t="shared" si="4"/>
        <v>49.452997379999999</v>
      </c>
      <c r="O24" s="49">
        <f t="shared" si="5"/>
        <v>69.346434119999998</v>
      </c>
      <c r="P24" s="10"/>
    </row>
    <row r="25" spans="1:19" s="7" customFormat="1" ht="31.5" collapsed="1" x14ac:dyDescent="0.25">
      <c r="A25" s="219" t="s">
        <v>62</v>
      </c>
      <c r="B25" s="138" t="s">
        <v>41</v>
      </c>
      <c r="C25" s="44">
        <v>7.2339040000000008</v>
      </c>
      <c r="D25" s="45">
        <f>D19+D23</f>
        <v>6.0244128200000002</v>
      </c>
      <c r="E25" s="151">
        <v>2.5832089499999999</v>
      </c>
      <c r="F25" s="45">
        <f>F19+F23</f>
        <v>11.140685959999999</v>
      </c>
      <c r="G25" s="44">
        <v>3.6981527700000001</v>
      </c>
      <c r="H25" s="45">
        <f>H19+H23</f>
        <v>2.8207339199999999</v>
      </c>
      <c r="I25" s="44">
        <v>8.5529984399999996</v>
      </c>
      <c r="J25" s="153">
        <f>J19+J23</f>
        <v>11.487705680000001</v>
      </c>
      <c r="K25" s="44">
        <v>33.803059640000001</v>
      </c>
      <c r="L25" s="45">
        <f>L19+L23</f>
        <v>41.243814839999999</v>
      </c>
      <c r="M25" s="90">
        <f>M19+M23</f>
        <v>12.025699360000001</v>
      </c>
      <c r="N25" s="139">
        <f t="shared" si="4"/>
        <v>55.871323799999999</v>
      </c>
      <c r="O25" s="38">
        <f t="shared" si="5"/>
        <v>84.743052580000011</v>
      </c>
      <c r="P25" s="10"/>
    </row>
    <row r="26" spans="1:19" s="7" customFormat="1" ht="36" customHeight="1" x14ac:dyDescent="0.25">
      <c r="A26" s="220"/>
      <c r="B26" s="142" t="s">
        <v>49</v>
      </c>
      <c r="C26" s="39">
        <v>8.6806847999999999</v>
      </c>
      <c r="D26" s="40">
        <f>D20+D24</f>
        <v>7.2292953799999999</v>
      </c>
      <c r="E26" s="143">
        <v>3.0998507399999999</v>
      </c>
      <c r="F26" s="40">
        <f>F20+F24</f>
        <v>13.368823149999999</v>
      </c>
      <c r="G26" s="39">
        <v>4.4377833300000002</v>
      </c>
      <c r="H26" s="40">
        <f>H20+H24</f>
        <v>3.3848807000000001</v>
      </c>
      <c r="I26" s="39">
        <v>10.26359813</v>
      </c>
      <c r="J26" s="144">
        <f>J20+J24</f>
        <v>13.78524681</v>
      </c>
      <c r="K26" s="39">
        <v>40.563671570000004</v>
      </c>
      <c r="L26" s="40">
        <f>L20+L24</f>
        <v>49.49257781</v>
      </c>
      <c r="M26" s="88">
        <f>M20+M24</f>
        <v>14.43083923</v>
      </c>
      <c r="N26" s="156">
        <f t="shared" si="4"/>
        <v>67.045588570000007</v>
      </c>
      <c r="O26" s="49">
        <f t="shared" si="5"/>
        <v>101.69166308000001</v>
      </c>
      <c r="P26" s="63"/>
      <c r="Q26" s="63"/>
      <c r="R26" s="63"/>
      <c r="S26" s="63"/>
    </row>
    <row r="27" spans="1:19" ht="15.75" x14ac:dyDescent="0.25">
      <c r="A27" s="74" t="s">
        <v>13</v>
      </c>
      <c r="B27" s="130" t="s">
        <v>9</v>
      </c>
      <c r="C27" s="33">
        <v>2383</v>
      </c>
      <c r="D27" s="34">
        <v>2904</v>
      </c>
      <c r="E27" s="131">
        <v>3758</v>
      </c>
      <c r="F27" s="34">
        <f>4153-395</f>
        <v>3758</v>
      </c>
      <c r="G27" s="33">
        <v>1693</v>
      </c>
      <c r="H27" s="132">
        <v>1684</v>
      </c>
      <c r="I27" s="33">
        <v>930</v>
      </c>
      <c r="J27" s="132">
        <v>1186</v>
      </c>
      <c r="K27" s="33">
        <v>1189</v>
      </c>
      <c r="L27" s="34">
        <v>682</v>
      </c>
      <c r="M27" s="85">
        <v>238</v>
      </c>
      <c r="N27" s="131">
        <f t="shared" si="4"/>
        <v>9953</v>
      </c>
      <c r="O27" s="132">
        <f t="shared" si="5"/>
        <v>10452</v>
      </c>
      <c r="P27" s="63"/>
      <c r="Q27" s="62">
        <f>R27-O27</f>
        <v>0</v>
      </c>
      <c r="R27" s="63">
        <v>10452</v>
      </c>
      <c r="S27" s="63"/>
    </row>
    <row r="28" spans="1:19" s="7" customFormat="1" ht="33" customHeight="1" outlineLevel="1" x14ac:dyDescent="0.25">
      <c r="A28" s="75"/>
      <c r="B28" s="68" t="s">
        <v>40</v>
      </c>
      <c r="C28" s="47">
        <v>1.6735999999999999E-3</v>
      </c>
      <c r="D28" s="97">
        <f>ROUND(0.001488*$H$3,8)</f>
        <v>1.5757900000000001E-3</v>
      </c>
      <c r="E28" s="155">
        <v>1.7522600000000001E-3</v>
      </c>
      <c r="F28" s="36">
        <f>ROUND(D28*$I$3,8)</f>
        <v>1.65931E-3</v>
      </c>
      <c r="G28" s="47">
        <v>1.8346199999999999E-3</v>
      </c>
      <c r="H28" s="136">
        <f>ROUND(F28*$J$3,8)</f>
        <v>1.7389599999999999E-3</v>
      </c>
      <c r="I28" s="47">
        <v>1.92085E-3</v>
      </c>
      <c r="J28" s="136">
        <f>ROUND(H28*$K$3,8)</f>
        <v>1.8224300000000001E-3</v>
      </c>
      <c r="K28" s="35">
        <v>2.0111299999999999E-3</v>
      </c>
      <c r="L28" s="136">
        <f>ROUND(J28*$L$3,8)</f>
        <v>1.9099099999999999E-3</v>
      </c>
      <c r="M28" s="86">
        <f>ROUND(L28*$M$3,8)</f>
        <v>2.0015900000000001E-3</v>
      </c>
      <c r="N28" s="155"/>
      <c r="O28" s="48"/>
    </row>
    <row r="29" spans="1:19" ht="31.5" collapsed="1" x14ac:dyDescent="0.25">
      <c r="A29" s="219" t="s">
        <v>3</v>
      </c>
      <c r="B29" s="138" t="s">
        <v>50</v>
      </c>
      <c r="C29" s="37">
        <v>3.9881888000000001</v>
      </c>
      <c r="D29" s="38">
        <f>ROUND(D28*D27,8)</f>
        <v>4.5760941600000002</v>
      </c>
      <c r="E29" s="139">
        <v>6.5849930800000003</v>
      </c>
      <c r="F29" s="38">
        <f>ROUND(F28*F27,8)</f>
        <v>6.2356869799999997</v>
      </c>
      <c r="G29" s="37">
        <v>3.1060116600000001</v>
      </c>
      <c r="H29" s="38">
        <f>ROUND(H28*H27,8)</f>
        <v>2.9284086399999998</v>
      </c>
      <c r="I29" s="37">
        <v>1.7863905</v>
      </c>
      <c r="J29" s="140">
        <f>ROUND(J28*J27,8)</f>
        <v>2.1614019799999999</v>
      </c>
      <c r="K29" s="37">
        <v>2.3912335699999998</v>
      </c>
      <c r="L29" s="38">
        <f>ROUND(L28*L27,8)</f>
        <v>1.3025586199999999</v>
      </c>
      <c r="M29" s="87">
        <f>ROUND(M28*M27,8)</f>
        <v>0.47637842000000002</v>
      </c>
      <c r="N29" s="139">
        <f t="shared" ref="N29:N31" si="6">C29+E29+G29+I29+K29</f>
        <v>17.85681761</v>
      </c>
      <c r="O29" s="38">
        <f t="shared" ref="O29:O31" si="7">D29+F29+H29+J29+L29+M29</f>
        <v>17.680528800000001</v>
      </c>
    </row>
    <row r="30" spans="1:19" ht="31.5" customHeight="1" x14ac:dyDescent="0.25">
      <c r="A30" s="220"/>
      <c r="B30" s="142" t="s">
        <v>51</v>
      </c>
      <c r="C30" s="56">
        <v>4.7858265599999994</v>
      </c>
      <c r="D30" s="40">
        <f>ROUND(D29*1.2,8)</f>
        <v>5.4913129899999999</v>
      </c>
      <c r="E30" s="156">
        <v>7.9019917</v>
      </c>
      <c r="F30" s="40">
        <f>ROUND(F29*1.2,8)</f>
        <v>7.4828243800000003</v>
      </c>
      <c r="G30" s="56">
        <v>3.7272139900000001</v>
      </c>
      <c r="H30" s="40">
        <f>ROUND(H29*1.2,8)</f>
        <v>3.5140903699999999</v>
      </c>
      <c r="I30" s="56">
        <v>2.1436685999999998</v>
      </c>
      <c r="J30" s="144">
        <f>ROUND(J29*1.2,8)</f>
        <v>2.5936823800000002</v>
      </c>
      <c r="K30" s="39">
        <v>2.8694802799999999</v>
      </c>
      <c r="L30" s="40">
        <f>ROUND(L29*1.2,8)</f>
        <v>1.5630703399999999</v>
      </c>
      <c r="M30" s="88">
        <f>ROUND(M29*1.2,8)</f>
        <v>0.57165410000000005</v>
      </c>
      <c r="N30" s="156">
        <f t="shared" si="6"/>
        <v>21.428181130000002</v>
      </c>
      <c r="O30" s="49">
        <f t="shared" si="7"/>
        <v>21.216634559999999</v>
      </c>
    </row>
    <row r="31" spans="1:19" ht="31.5" x14ac:dyDescent="0.25">
      <c r="A31" s="74" t="s">
        <v>14</v>
      </c>
      <c r="B31" s="130" t="s">
        <v>10</v>
      </c>
      <c r="C31" s="33">
        <v>254</v>
      </c>
      <c r="D31" s="34">
        <v>0</v>
      </c>
      <c r="E31" s="131">
        <v>214</v>
      </c>
      <c r="F31" s="34">
        <v>0</v>
      </c>
      <c r="G31" s="33">
        <v>152</v>
      </c>
      <c r="H31" s="132">
        <v>0</v>
      </c>
      <c r="I31" s="33">
        <v>174</v>
      </c>
      <c r="J31" s="132">
        <v>0</v>
      </c>
      <c r="K31" s="33">
        <v>270</v>
      </c>
      <c r="L31" s="34">
        <v>0</v>
      </c>
      <c r="M31" s="85">
        <v>0</v>
      </c>
      <c r="N31" s="131">
        <f t="shared" si="6"/>
        <v>1064</v>
      </c>
      <c r="O31" s="34">
        <f t="shared" si="7"/>
        <v>0</v>
      </c>
    </row>
    <row r="32" spans="1:19" s="7" customFormat="1" ht="37.5" customHeight="1" outlineLevel="1" x14ac:dyDescent="0.25">
      <c r="A32" s="75"/>
      <c r="B32" s="68" t="s">
        <v>40</v>
      </c>
      <c r="C32" s="47">
        <v>0.10489999999999999</v>
      </c>
      <c r="D32" s="97">
        <v>0.13090299999999999</v>
      </c>
      <c r="E32" s="150">
        <v>0.10983030000000001</v>
      </c>
      <c r="F32" s="36">
        <f>ROUND(D32*$I$3,8)</f>
        <v>0.13784086000000001</v>
      </c>
      <c r="G32" s="43">
        <v>0.11499232</v>
      </c>
      <c r="H32" s="136">
        <f>ROUND(F32*$J$3,8)</f>
        <v>0.14445722</v>
      </c>
      <c r="I32" s="35">
        <v>0.12039696</v>
      </c>
      <c r="J32" s="136">
        <f>ROUND(H32*$K$3,8)</f>
        <v>0.15139116999999999</v>
      </c>
      <c r="K32" s="35">
        <v>0.12605562000000001</v>
      </c>
      <c r="L32" s="136">
        <f>ROUND(J32*$L$3,8)</f>
        <v>0.15865794999999999</v>
      </c>
      <c r="M32" s="86">
        <f>ROUND(L32*$M$3,8)</f>
        <v>0.16627353</v>
      </c>
      <c r="N32" s="152"/>
      <c r="O32" s="66"/>
    </row>
    <row r="33" spans="1:21" s="7" customFormat="1" ht="31.5" customHeight="1" collapsed="1" x14ac:dyDescent="0.25">
      <c r="A33" s="219" t="s">
        <v>4</v>
      </c>
      <c r="B33" s="138" t="s">
        <v>52</v>
      </c>
      <c r="C33" s="37">
        <v>26.644600000000001</v>
      </c>
      <c r="D33" s="38">
        <f>ROUND(D32*D31,8)</f>
        <v>0</v>
      </c>
      <c r="E33" s="139">
        <v>23.503684199999999</v>
      </c>
      <c r="F33" s="38">
        <f>ROUND(F32*F31,8)</f>
        <v>0</v>
      </c>
      <c r="G33" s="37">
        <v>17.47883264</v>
      </c>
      <c r="H33" s="38">
        <f>ROUND(H32*H31,8)</f>
        <v>0</v>
      </c>
      <c r="I33" s="37">
        <v>20.94907104</v>
      </c>
      <c r="J33" s="140">
        <f>ROUND(J32*J31,8)</f>
        <v>0</v>
      </c>
      <c r="K33" s="37">
        <v>34.035017400000001</v>
      </c>
      <c r="L33" s="38">
        <f>ROUND(L32*L31,8)</f>
        <v>0</v>
      </c>
      <c r="M33" s="87">
        <f>ROUND(M32*M31,8)</f>
        <v>0</v>
      </c>
      <c r="N33" s="139">
        <f t="shared" ref="N33:N41" si="8">C33+E33+G33+I33+K33</f>
        <v>122.61120527999999</v>
      </c>
      <c r="O33" s="38">
        <f t="shared" ref="O33:O41" si="9">D33+F33+H33+J33+L33+M33</f>
        <v>0</v>
      </c>
    </row>
    <row r="34" spans="1:21" s="7" customFormat="1" ht="31.5" customHeight="1" x14ac:dyDescent="0.25">
      <c r="A34" s="220"/>
      <c r="B34" s="142" t="s">
        <v>53</v>
      </c>
      <c r="C34" s="56">
        <v>31.973520000000001</v>
      </c>
      <c r="D34" s="40">
        <f>ROUND(D33*1.2,8)</f>
        <v>0</v>
      </c>
      <c r="E34" s="156">
        <v>28.20442104</v>
      </c>
      <c r="F34" s="40">
        <f>ROUND(F33*1.2,8)</f>
        <v>0</v>
      </c>
      <c r="G34" s="56">
        <v>20.974599170000001</v>
      </c>
      <c r="H34" s="40">
        <f>ROUND(H33*1.2,8)</f>
        <v>0</v>
      </c>
      <c r="I34" s="56">
        <v>25.138885250000001</v>
      </c>
      <c r="J34" s="144">
        <f>ROUND(J33*1.2,8)</f>
        <v>0</v>
      </c>
      <c r="K34" s="39">
        <v>40.84202088</v>
      </c>
      <c r="L34" s="40">
        <f>ROUND(L33*1.2,8)</f>
        <v>0</v>
      </c>
      <c r="M34" s="88">
        <f>ROUND(M33*1.2,8)</f>
        <v>0</v>
      </c>
      <c r="N34" s="156">
        <f t="shared" si="8"/>
        <v>147.13344634000001</v>
      </c>
      <c r="O34" s="49">
        <f t="shared" si="9"/>
        <v>0</v>
      </c>
    </row>
    <row r="35" spans="1:21" ht="15.75" x14ac:dyDescent="0.25">
      <c r="A35" s="217" t="s">
        <v>15</v>
      </c>
      <c r="B35" s="130" t="s">
        <v>55</v>
      </c>
      <c r="C35" s="50">
        <v>0</v>
      </c>
      <c r="D35" s="51">
        <v>0</v>
      </c>
      <c r="E35" s="157">
        <v>0</v>
      </c>
      <c r="F35" s="51">
        <v>0</v>
      </c>
      <c r="G35" s="50">
        <v>0</v>
      </c>
      <c r="H35" s="158">
        <v>0</v>
      </c>
      <c r="I35" s="50">
        <v>0</v>
      </c>
      <c r="J35" s="158">
        <v>0</v>
      </c>
      <c r="K35" s="50">
        <v>0</v>
      </c>
      <c r="L35" s="51">
        <v>0</v>
      </c>
      <c r="M35" s="91">
        <v>0</v>
      </c>
      <c r="N35" s="157">
        <f t="shared" si="8"/>
        <v>0</v>
      </c>
      <c r="O35" s="51">
        <f t="shared" si="9"/>
        <v>0</v>
      </c>
    </row>
    <row r="36" spans="1:21" ht="42" customHeight="1" x14ac:dyDescent="0.25">
      <c r="A36" s="218"/>
      <c r="B36" s="130" t="s">
        <v>54</v>
      </c>
      <c r="C36" s="50">
        <v>0</v>
      </c>
      <c r="D36" s="51">
        <v>0</v>
      </c>
      <c r="E36" s="157">
        <v>0</v>
      </c>
      <c r="F36" s="51">
        <v>0</v>
      </c>
      <c r="G36" s="50">
        <v>0</v>
      </c>
      <c r="H36" s="158">
        <v>0</v>
      </c>
      <c r="I36" s="50">
        <v>0</v>
      </c>
      <c r="J36" s="158">
        <v>0</v>
      </c>
      <c r="K36" s="50">
        <v>0</v>
      </c>
      <c r="L36" s="51">
        <v>0</v>
      </c>
      <c r="M36" s="91">
        <v>0</v>
      </c>
      <c r="N36" s="157">
        <f t="shared" si="8"/>
        <v>0</v>
      </c>
      <c r="O36" s="51">
        <f t="shared" si="9"/>
        <v>0</v>
      </c>
    </row>
    <row r="37" spans="1:21" ht="15.75" outlineLevel="1" x14ac:dyDescent="0.25">
      <c r="A37" s="77" t="s">
        <v>5</v>
      </c>
      <c r="B37" s="160" t="s">
        <v>17</v>
      </c>
      <c r="C37" s="52">
        <v>0</v>
      </c>
      <c r="D37" s="53">
        <v>0</v>
      </c>
      <c r="E37" s="161">
        <v>0</v>
      </c>
      <c r="F37" s="53">
        <v>0</v>
      </c>
      <c r="G37" s="52">
        <v>0</v>
      </c>
      <c r="H37" s="162">
        <v>0</v>
      </c>
      <c r="I37" s="52">
        <v>0</v>
      </c>
      <c r="J37" s="162">
        <v>0</v>
      </c>
      <c r="K37" s="52">
        <v>0</v>
      </c>
      <c r="L37" s="53">
        <v>0</v>
      </c>
      <c r="M37" s="92">
        <v>0</v>
      </c>
      <c r="N37" s="192">
        <f t="shared" si="8"/>
        <v>0</v>
      </c>
      <c r="O37" s="72">
        <f t="shared" si="9"/>
        <v>0</v>
      </c>
      <c r="P37" s="5"/>
      <c r="Q37" s="5"/>
      <c r="R37" s="5"/>
      <c r="S37" s="5"/>
      <c r="T37" s="5"/>
      <c r="U37" s="5"/>
    </row>
    <row r="38" spans="1:21" ht="15.75" outlineLevel="1" x14ac:dyDescent="0.25">
      <c r="A38" s="77" t="s">
        <v>6</v>
      </c>
      <c r="B38" s="160" t="s">
        <v>18</v>
      </c>
      <c r="C38" s="52">
        <v>0</v>
      </c>
      <c r="D38" s="53">
        <v>0</v>
      </c>
      <c r="E38" s="161">
        <v>0</v>
      </c>
      <c r="F38" s="53">
        <v>0</v>
      </c>
      <c r="G38" s="52">
        <v>0</v>
      </c>
      <c r="H38" s="162">
        <v>0</v>
      </c>
      <c r="I38" s="52">
        <v>0</v>
      </c>
      <c r="J38" s="162">
        <v>0</v>
      </c>
      <c r="K38" s="52">
        <v>0</v>
      </c>
      <c r="L38" s="53">
        <v>0</v>
      </c>
      <c r="M38" s="92">
        <v>0</v>
      </c>
      <c r="N38" s="192">
        <f t="shared" si="8"/>
        <v>0</v>
      </c>
      <c r="O38" s="72">
        <f t="shared" si="9"/>
        <v>0</v>
      </c>
      <c r="P38" s="5"/>
      <c r="Q38" s="5"/>
      <c r="R38" s="5"/>
      <c r="S38" s="5"/>
      <c r="T38" s="5"/>
      <c r="U38" s="5"/>
    </row>
    <row r="39" spans="1:21" ht="17.25" customHeight="1" x14ac:dyDescent="0.25">
      <c r="A39" s="217" t="s">
        <v>23</v>
      </c>
      <c r="B39" s="130" t="s">
        <v>73</v>
      </c>
      <c r="C39" s="50">
        <v>45.190042339999998</v>
      </c>
      <c r="D39" s="51">
        <f>D43+D47+D51+D57</f>
        <v>41.103623399999996</v>
      </c>
      <c r="E39" s="157">
        <v>43.299328850000002</v>
      </c>
      <c r="F39" s="51">
        <f>F43+F47+F51+F57</f>
        <v>40.525051930000004</v>
      </c>
      <c r="G39" s="50">
        <v>34.511192080000001</v>
      </c>
      <c r="H39" s="51">
        <f>H43+H47+H51+H57</f>
        <v>36.182868990000003</v>
      </c>
      <c r="I39" s="50">
        <v>41.507880239999999</v>
      </c>
      <c r="J39" s="158">
        <f>J43+J47+J51+J57</f>
        <v>42.051678330000001</v>
      </c>
      <c r="K39" s="50">
        <v>55.961343719999995</v>
      </c>
      <c r="L39" s="51">
        <f>L43+L47+L51+L57</f>
        <v>53.602319900000005</v>
      </c>
      <c r="M39" s="91">
        <f>M43+M47+M51+M57</f>
        <v>51.326164620000007</v>
      </c>
      <c r="N39" s="157">
        <f t="shared" si="8"/>
        <v>220.46978723000001</v>
      </c>
      <c r="O39" s="51">
        <f t="shared" si="9"/>
        <v>264.79170717</v>
      </c>
      <c r="P39" s="5"/>
      <c r="Q39" s="5"/>
    </row>
    <row r="40" spans="1:21" ht="15.75" x14ac:dyDescent="0.25">
      <c r="A40" s="218"/>
      <c r="B40" s="130" t="s">
        <v>74</v>
      </c>
      <c r="C40" s="50">
        <v>54.228050799999998</v>
      </c>
      <c r="D40" s="51">
        <f>ROUND(D39*1.2,8)</f>
        <v>49.32434808</v>
      </c>
      <c r="E40" s="157">
        <v>51.959194619999998</v>
      </c>
      <c r="F40" s="51">
        <f>ROUND(F39*1.2,8)</f>
        <v>48.63006232</v>
      </c>
      <c r="G40" s="50">
        <v>41.413430499999997</v>
      </c>
      <c r="H40" s="51">
        <f>ROUND(H39*1.2,8)</f>
        <v>43.419442789999998</v>
      </c>
      <c r="I40" s="50">
        <v>49.80945629</v>
      </c>
      <c r="J40" s="158">
        <f>ROUND(J39*1.2,8)</f>
        <v>50.462014000000003</v>
      </c>
      <c r="K40" s="50">
        <v>67.153612460000005</v>
      </c>
      <c r="L40" s="51">
        <f>ROUND(L39*1.2,8)</f>
        <v>64.322783880000003</v>
      </c>
      <c r="M40" s="91">
        <f>ROUND(M39*1.2,8)</f>
        <v>61.591397540000003</v>
      </c>
      <c r="N40" s="157">
        <f t="shared" si="8"/>
        <v>264.56374467000001</v>
      </c>
      <c r="O40" s="51">
        <f t="shared" si="9"/>
        <v>317.75004861000002</v>
      </c>
      <c r="P40" s="5"/>
      <c r="Q40" s="5"/>
    </row>
    <row r="41" spans="1:21" s="7" customFormat="1" ht="15.75" x14ac:dyDescent="0.25">
      <c r="A41" s="68"/>
      <c r="B41" s="68" t="s">
        <v>35</v>
      </c>
      <c r="C41" s="54">
        <v>17685</v>
      </c>
      <c r="D41" s="55">
        <f>D12</f>
        <v>14391</v>
      </c>
      <c r="E41" s="164">
        <v>15748</v>
      </c>
      <c r="F41" s="55">
        <f>F12</f>
        <v>11207</v>
      </c>
      <c r="G41" s="54">
        <v>12826</v>
      </c>
      <c r="H41" s="55">
        <f>H12</f>
        <v>12817</v>
      </c>
      <c r="I41" s="54">
        <v>15084</v>
      </c>
      <c r="J41" s="165">
        <f>J12</f>
        <v>15042</v>
      </c>
      <c r="K41" s="54">
        <v>16719</v>
      </c>
      <c r="L41" s="55">
        <f>L12</f>
        <v>18267</v>
      </c>
      <c r="M41" s="93">
        <f>M12</f>
        <v>18849</v>
      </c>
      <c r="N41" s="164">
        <f t="shared" si="8"/>
        <v>78062</v>
      </c>
      <c r="O41" s="55">
        <f t="shared" si="9"/>
        <v>90573</v>
      </c>
      <c r="P41" s="12"/>
      <c r="Q41" s="12"/>
    </row>
    <row r="42" spans="1:21" s="7" customFormat="1" ht="15.75" x14ac:dyDescent="0.25">
      <c r="A42" s="68"/>
      <c r="B42" s="68" t="s">
        <v>38</v>
      </c>
      <c r="C42" s="47">
        <v>1.9052299999999999E-3</v>
      </c>
      <c r="D42" s="97">
        <f>ROUND((0.000506+0.00017+ROUND(0.00118166*1.05,8))*$H$3,8)</f>
        <v>2.0298299999999998E-3</v>
      </c>
      <c r="E42" s="155">
        <v>1.9947799999999998E-3</v>
      </c>
      <c r="F42" s="36">
        <f>ROUND(D42*$I$3,8)</f>
        <v>2.1374100000000002E-3</v>
      </c>
      <c r="G42" s="47">
        <v>2.0885299999999999E-3</v>
      </c>
      <c r="H42" s="136">
        <f>ROUND(F42*$J$3,8)</f>
        <v>2.2400100000000002E-3</v>
      </c>
      <c r="I42" s="47">
        <v>2.1866899999999998E-3</v>
      </c>
      <c r="J42" s="136">
        <f>ROUND(H42*$K$3,8)</f>
        <v>2.34753E-3</v>
      </c>
      <c r="K42" s="35">
        <v>2.2894600000000001E-3</v>
      </c>
      <c r="L42" s="136">
        <f>ROUND(J42*$L$3,8)</f>
        <v>2.46021E-3</v>
      </c>
      <c r="M42" s="86">
        <f>ROUND(L42*$M$3,8)</f>
        <v>2.5782999999999999E-3</v>
      </c>
      <c r="N42" s="155"/>
      <c r="O42" s="48"/>
      <c r="P42" s="12"/>
      <c r="Q42" s="12"/>
    </row>
    <row r="43" spans="1:21" ht="51" customHeight="1" x14ac:dyDescent="0.25">
      <c r="A43" s="219" t="s">
        <v>24</v>
      </c>
      <c r="B43" s="138" t="s">
        <v>56</v>
      </c>
      <c r="C43" s="37">
        <v>33.693992550000004</v>
      </c>
      <c r="D43" s="38">
        <f>ROUND(D42*D41,8)</f>
        <v>29.211283529999999</v>
      </c>
      <c r="E43" s="139">
        <v>31.413795440000001</v>
      </c>
      <c r="F43" s="38">
        <f>ROUND(F42*F41,8)</f>
        <v>23.953953869999999</v>
      </c>
      <c r="G43" s="37">
        <v>26.787485780000001</v>
      </c>
      <c r="H43" s="38">
        <f>ROUND(H42*H41,8)</f>
        <v>28.710208170000001</v>
      </c>
      <c r="I43" s="37">
        <v>32.984031960000003</v>
      </c>
      <c r="J43" s="140">
        <f>ROUND(J42*J41,8)</f>
        <v>35.31154626</v>
      </c>
      <c r="K43" s="37">
        <v>38.277481739999999</v>
      </c>
      <c r="L43" s="38">
        <f>ROUND(L42*L41,8)</f>
        <v>44.940656070000003</v>
      </c>
      <c r="M43" s="87">
        <f>ROUND(M42*M41,8)</f>
        <v>48.598376700000003</v>
      </c>
      <c r="N43" s="139">
        <f t="shared" ref="N43:N45" si="10">C43+E43+G43+I43+K43</f>
        <v>163.15678746999998</v>
      </c>
      <c r="O43" s="38">
        <f t="shared" ref="O43:O45" si="11">D43+F43+H43+J43+L43+M43</f>
        <v>210.72602460000002</v>
      </c>
    </row>
    <row r="44" spans="1:21" ht="53.25" customHeight="1" x14ac:dyDescent="0.25">
      <c r="A44" s="220"/>
      <c r="B44" s="142" t="s">
        <v>57</v>
      </c>
      <c r="C44" s="56">
        <v>40.43279106</v>
      </c>
      <c r="D44" s="40">
        <f>ROUND(D43*1.2,8)</f>
        <v>35.053540239999997</v>
      </c>
      <c r="E44" s="156">
        <v>37.69655453</v>
      </c>
      <c r="F44" s="40">
        <f>ROUND(F43*1.2,8)</f>
        <v>28.74474464</v>
      </c>
      <c r="G44" s="56">
        <v>32.144982939999998</v>
      </c>
      <c r="H44" s="40">
        <f>ROUND(H43*1.2,8)</f>
        <v>34.452249799999997</v>
      </c>
      <c r="I44" s="56">
        <v>39.580838350000001</v>
      </c>
      <c r="J44" s="144">
        <f>ROUND(J43*1.2,8)</f>
        <v>42.373855509999999</v>
      </c>
      <c r="K44" s="39">
        <v>45.932978089999999</v>
      </c>
      <c r="L44" s="40">
        <f>ROUND(L43*1.2,8)</f>
        <v>53.928787280000002</v>
      </c>
      <c r="M44" s="88">
        <f>ROUND(M43*1.2,8)</f>
        <v>58.318052039999998</v>
      </c>
      <c r="N44" s="156">
        <f t="shared" si="10"/>
        <v>195.78814496999999</v>
      </c>
      <c r="O44" s="49">
        <f t="shared" si="11"/>
        <v>252.87122950999998</v>
      </c>
    </row>
    <row r="45" spans="1:21" s="7" customFormat="1" ht="15.75" x14ac:dyDescent="0.25">
      <c r="A45" s="68"/>
      <c r="B45" s="68" t="s">
        <v>35</v>
      </c>
      <c r="C45" s="54">
        <v>431</v>
      </c>
      <c r="D45" s="55">
        <f>D16</f>
        <v>291</v>
      </c>
      <c r="E45" s="164">
        <v>147</v>
      </c>
      <c r="F45" s="55">
        <f>F16</f>
        <v>504</v>
      </c>
      <c r="G45" s="54">
        <v>201</v>
      </c>
      <c r="H45" s="55">
        <f>H16</f>
        <v>123</v>
      </c>
      <c r="I45" s="54">
        <v>444</v>
      </c>
      <c r="J45" s="165">
        <f>J16</f>
        <v>475</v>
      </c>
      <c r="K45" s="54">
        <v>1676</v>
      </c>
      <c r="L45" s="55">
        <f>L16</f>
        <v>1665</v>
      </c>
      <c r="M45" s="93">
        <f>M16</f>
        <v>454</v>
      </c>
      <c r="N45" s="164">
        <f t="shared" si="10"/>
        <v>2899</v>
      </c>
      <c r="O45" s="55">
        <f t="shared" si="11"/>
        <v>3512</v>
      </c>
    </row>
    <row r="46" spans="1:21" s="7" customFormat="1" ht="15.75" x14ac:dyDescent="0.25">
      <c r="A46" s="68"/>
      <c r="B46" s="68" t="s">
        <v>38</v>
      </c>
      <c r="C46" s="47">
        <v>3.5918E-3</v>
      </c>
      <c r="D46" s="97">
        <f>ROUND((0.001164+0.00017+ROUND(0.00118166*1.05,8))*$H$3,8)</f>
        <v>2.7266500000000002E-3</v>
      </c>
      <c r="E46" s="155">
        <v>3.7606100000000002E-3</v>
      </c>
      <c r="F46" s="36">
        <f>ROUND(D46*$I$3,8)</f>
        <v>2.8711600000000002E-3</v>
      </c>
      <c r="G46" s="47">
        <v>3.93736E-3</v>
      </c>
      <c r="H46" s="136">
        <f>ROUND(F46*$J$3,8)</f>
        <v>3.0089800000000001E-3</v>
      </c>
      <c r="I46" s="47">
        <v>4.1224199999999999E-3</v>
      </c>
      <c r="J46" s="136">
        <f>ROUND(H46*$K$3,8)</f>
        <v>3.1534100000000002E-3</v>
      </c>
      <c r="K46" s="35">
        <v>4.3161700000000002E-3</v>
      </c>
      <c r="L46" s="136">
        <f>ROUND(J46*$L$3,8)</f>
        <v>3.3047699999999998E-3</v>
      </c>
      <c r="M46" s="86">
        <f>ROUND(L46*$M$3,8)</f>
        <v>3.4634000000000002E-3</v>
      </c>
      <c r="N46" s="155"/>
      <c r="O46" s="48"/>
    </row>
    <row r="47" spans="1:21" ht="47.25" x14ac:dyDescent="0.25">
      <c r="A47" s="219" t="s">
        <v>25</v>
      </c>
      <c r="B47" s="138" t="s">
        <v>58</v>
      </c>
      <c r="C47" s="37">
        <v>1.5480657999999998</v>
      </c>
      <c r="D47" s="38">
        <f>ROUND(D46*D45,8)</f>
        <v>0.79345515</v>
      </c>
      <c r="E47" s="139">
        <v>0.55280967000000003</v>
      </c>
      <c r="F47" s="38">
        <f>ROUND(F46*F45,8)</f>
        <v>1.44706464</v>
      </c>
      <c r="G47" s="37">
        <v>0.79140935999999995</v>
      </c>
      <c r="H47" s="38">
        <f>ROUND(H46*H45,8)</f>
        <v>0.37010453999999998</v>
      </c>
      <c r="I47" s="37">
        <v>1.83035448</v>
      </c>
      <c r="J47" s="140">
        <f>ROUND(J46*J45,8)</f>
        <v>1.49786975</v>
      </c>
      <c r="K47" s="37">
        <v>7.23390092</v>
      </c>
      <c r="L47" s="38">
        <f>ROUND(L46*L45,8)</f>
        <v>5.50244205</v>
      </c>
      <c r="M47" s="87">
        <f>ROUND(M46*M45,8)</f>
        <v>1.5723836</v>
      </c>
      <c r="N47" s="139">
        <f t="shared" ref="N47:N49" si="12">C47+E47+G47+I47+K47</f>
        <v>11.95654023</v>
      </c>
      <c r="O47" s="38">
        <f t="shared" ref="O47:O49" si="13">D47+F47+H47+J47+L47+M47</f>
        <v>11.183319729999999</v>
      </c>
    </row>
    <row r="48" spans="1:21" ht="51" customHeight="1" x14ac:dyDescent="0.25">
      <c r="A48" s="220"/>
      <c r="B48" s="142" t="s">
        <v>59</v>
      </c>
      <c r="C48" s="56">
        <v>1.8576789600000001</v>
      </c>
      <c r="D48" s="40">
        <f>ROUND(D47*1.2,8)</f>
        <v>0.95214617999999995</v>
      </c>
      <c r="E48" s="156">
        <v>0.66337159999999995</v>
      </c>
      <c r="F48" s="40">
        <f>ROUND(F47*1.2,8)</f>
        <v>1.7364775699999999</v>
      </c>
      <c r="G48" s="56">
        <v>0.94969123</v>
      </c>
      <c r="H48" s="40">
        <f>ROUND(H47*1.2,8)</f>
        <v>0.44412544999999998</v>
      </c>
      <c r="I48" s="56">
        <v>2.19642538</v>
      </c>
      <c r="J48" s="144">
        <f>ROUND(J47*1.2,8)</f>
        <v>1.7974437000000001</v>
      </c>
      <c r="K48" s="39">
        <v>8.6806810999999993</v>
      </c>
      <c r="L48" s="40">
        <f>ROUND(L47*1.2,8)</f>
        <v>6.6029304599999996</v>
      </c>
      <c r="M48" s="88">
        <f>ROUND(M47*1.2,8)</f>
        <v>1.88686032</v>
      </c>
      <c r="N48" s="156">
        <f t="shared" si="12"/>
        <v>14.34784827</v>
      </c>
      <c r="O48" s="49">
        <f t="shared" si="13"/>
        <v>13.41998368</v>
      </c>
    </row>
    <row r="49" spans="1:28" ht="17.25" customHeight="1" x14ac:dyDescent="0.25">
      <c r="A49" s="68"/>
      <c r="B49" s="68" t="s">
        <v>35</v>
      </c>
      <c r="C49" s="43">
        <v>2383</v>
      </c>
      <c r="D49" s="55">
        <f>D27</f>
        <v>2904</v>
      </c>
      <c r="E49" s="150">
        <v>3758</v>
      </c>
      <c r="F49" s="55">
        <f>F27</f>
        <v>3758</v>
      </c>
      <c r="G49" s="43">
        <v>1693</v>
      </c>
      <c r="H49" s="55">
        <f>H27</f>
        <v>1684</v>
      </c>
      <c r="I49" s="43">
        <v>930</v>
      </c>
      <c r="J49" s="165">
        <f>J27</f>
        <v>1186</v>
      </c>
      <c r="K49" s="54">
        <v>1189</v>
      </c>
      <c r="L49" s="55">
        <f>L27</f>
        <v>682</v>
      </c>
      <c r="M49" s="93">
        <f>M27</f>
        <v>238</v>
      </c>
      <c r="N49" s="150">
        <f t="shared" si="12"/>
        <v>9953</v>
      </c>
      <c r="O49" s="55">
        <f t="shared" si="13"/>
        <v>10452</v>
      </c>
    </row>
    <row r="50" spans="1:28" ht="15.75" x14ac:dyDescent="0.25">
      <c r="A50" s="68"/>
      <c r="B50" s="68" t="s">
        <v>38</v>
      </c>
      <c r="C50" s="47">
        <v>1.39583E-3</v>
      </c>
      <c r="D50" s="97">
        <f>ROUND(0.003609*$H$3,8)</f>
        <v>3.8219299999999999E-3</v>
      </c>
      <c r="E50" s="155">
        <v>1.4614300000000001E-3</v>
      </c>
      <c r="F50" s="36">
        <f>ROUND(D50*$I$3,8)</f>
        <v>4.0244900000000004E-3</v>
      </c>
      <c r="G50" s="47">
        <v>1.53012E-3</v>
      </c>
      <c r="H50" s="136">
        <f>ROUND(F50*$J$3,8)</f>
        <v>4.2176699999999998E-3</v>
      </c>
      <c r="I50" s="47">
        <v>1.6020400000000001E-3</v>
      </c>
      <c r="J50" s="136">
        <f>ROUND(H50*$K$3,8)</f>
        <v>4.4201199999999996E-3</v>
      </c>
      <c r="K50" s="35">
        <v>1.67734E-3</v>
      </c>
      <c r="L50" s="136">
        <f>ROUND(J50*$L$3,8)</f>
        <v>4.6322899999999998E-3</v>
      </c>
      <c r="M50" s="86">
        <f>ROUND(L50*$M$3,8)</f>
        <v>4.8546400000000003E-3</v>
      </c>
      <c r="N50" s="155"/>
      <c r="O50" s="48"/>
    </row>
    <row r="51" spans="1:28" ht="31.5" x14ac:dyDescent="0.25">
      <c r="A51" s="221" t="s">
        <v>26</v>
      </c>
      <c r="B51" s="138" t="s">
        <v>60</v>
      </c>
      <c r="C51" s="37">
        <v>3.3262628900000002</v>
      </c>
      <c r="D51" s="38">
        <f>ROUND(D50*D49,8)</f>
        <v>11.098884719999999</v>
      </c>
      <c r="E51" s="139">
        <v>5.4920539399999999</v>
      </c>
      <c r="F51" s="38">
        <f>ROUND(F50*F49,8)</f>
        <v>15.12403342</v>
      </c>
      <c r="G51" s="37">
        <v>2.5904931599999999</v>
      </c>
      <c r="H51" s="38">
        <f>ROUND(H50*H49,8)</f>
        <v>7.1025562799999999</v>
      </c>
      <c r="I51" s="37">
        <v>1.4898971999999999</v>
      </c>
      <c r="J51" s="140">
        <f>ROUND(J50*J49,8)</f>
        <v>5.24226232</v>
      </c>
      <c r="K51" s="37">
        <v>1.9943572599999999</v>
      </c>
      <c r="L51" s="38">
        <f>ROUND(L50*L49,8)</f>
        <v>3.1592217800000002</v>
      </c>
      <c r="M51" s="87">
        <f>ROUND(M50*M49,8)</f>
        <v>1.1554043199999999</v>
      </c>
      <c r="N51" s="139">
        <f t="shared" ref="N51:N53" si="14">C51+E51+G51+I51+K51</f>
        <v>14.893064449999999</v>
      </c>
      <c r="O51" s="38">
        <f t="shared" ref="O51:O53" si="15">D51+F51+H51+J51+L51+M51</f>
        <v>42.882362840000006</v>
      </c>
    </row>
    <row r="52" spans="1:28" ht="57" customHeight="1" x14ac:dyDescent="0.25">
      <c r="A52" s="222"/>
      <c r="B52" s="142" t="s">
        <v>61</v>
      </c>
      <c r="C52" s="56">
        <v>3.99151547</v>
      </c>
      <c r="D52" s="40">
        <f>ROUND(D51*1.2,8)</f>
        <v>13.31866166</v>
      </c>
      <c r="E52" s="156">
        <v>6.5904647299999999</v>
      </c>
      <c r="F52" s="40">
        <f>ROUND(F51*1.2,8)</f>
        <v>18.148840100000001</v>
      </c>
      <c r="G52" s="56">
        <v>3.1085917900000002</v>
      </c>
      <c r="H52" s="40">
        <f>ROUND(H51*1.2,8)</f>
        <v>8.5230675399999996</v>
      </c>
      <c r="I52" s="56">
        <v>1.7878766399999999</v>
      </c>
      <c r="J52" s="144">
        <f>ROUND(J51*1.2,8)</f>
        <v>6.2907147800000001</v>
      </c>
      <c r="K52" s="39">
        <v>2.3932287099999998</v>
      </c>
      <c r="L52" s="40">
        <f>ROUND(L51*1.2,8)</f>
        <v>3.7910661399999999</v>
      </c>
      <c r="M52" s="88">
        <f>ROUND(M51*1.2,8)</f>
        <v>1.38648518</v>
      </c>
      <c r="N52" s="156">
        <f t="shared" si="14"/>
        <v>17.871677340000002</v>
      </c>
      <c r="O52" s="49">
        <f t="shared" si="15"/>
        <v>51.458835400000005</v>
      </c>
    </row>
    <row r="53" spans="1:28" s="7" customFormat="1" ht="15.75" x14ac:dyDescent="0.25">
      <c r="A53" s="68"/>
      <c r="B53" s="68" t="s">
        <v>35</v>
      </c>
      <c r="C53" s="54">
        <v>246</v>
      </c>
      <c r="D53" s="55">
        <f>D31-D55</f>
        <v>0</v>
      </c>
      <c r="E53" s="164">
        <v>206</v>
      </c>
      <c r="F53" s="167">
        <f>F31-F55</f>
        <v>0</v>
      </c>
      <c r="G53" s="54">
        <v>142</v>
      </c>
      <c r="H53" s="167">
        <f>H31-H55</f>
        <v>0</v>
      </c>
      <c r="I53" s="54">
        <v>162</v>
      </c>
      <c r="J53" s="165">
        <f>J31-J55</f>
        <v>0</v>
      </c>
      <c r="K53" s="54">
        <v>255</v>
      </c>
      <c r="L53" s="55">
        <f>L31-L55</f>
        <v>0</v>
      </c>
      <c r="M53" s="93">
        <f>M31-M55</f>
        <v>0</v>
      </c>
      <c r="N53" s="164">
        <f t="shared" si="14"/>
        <v>1011</v>
      </c>
      <c r="O53" s="55">
        <f t="shared" si="15"/>
        <v>0</v>
      </c>
    </row>
    <row r="54" spans="1:28" s="7" customFormat="1" ht="15.75" x14ac:dyDescent="0.25">
      <c r="A54" s="68"/>
      <c r="B54" s="68" t="s">
        <v>75</v>
      </c>
      <c r="C54" s="47">
        <v>2.6081010000000002E-2</v>
      </c>
      <c r="D54" s="97">
        <f>ROUND(0.003175*$H$3,8)</f>
        <v>3.3623300000000002E-3</v>
      </c>
      <c r="E54" s="155">
        <v>2.7306819999999999E-2</v>
      </c>
      <c r="F54" s="36">
        <f>ROUND(D54*$I$3,8)</f>
        <v>3.5405300000000001E-3</v>
      </c>
      <c r="G54" s="47">
        <v>2.8590239999999999E-2</v>
      </c>
      <c r="H54" s="136">
        <f>ROUND(F54*$J$3,8)</f>
        <v>3.7104799999999999E-3</v>
      </c>
      <c r="I54" s="47">
        <v>2.9933979999999999E-2</v>
      </c>
      <c r="J54" s="136">
        <f>ROUND(H54*$K$3,8)</f>
        <v>3.88858E-3</v>
      </c>
      <c r="K54" s="35">
        <v>3.1340880000000002E-2</v>
      </c>
      <c r="L54" s="136">
        <f>ROUND(J54*$L$3,8)</f>
        <v>4.07523E-3</v>
      </c>
      <c r="M54" s="86">
        <f>ROUND(L54*$M$3,8)</f>
        <v>4.2708399999999997E-3</v>
      </c>
      <c r="N54" s="155"/>
      <c r="O54" s="48"/>
    </row>
    <row r="55" spans="1:28" s="7" customFormat="1" ht="15.75" x14ac:dyDescent="0.25">
      <c r="A55" s="78"/>
      <c r="B55" s="68" t="s">
        <v>35</v>
      </c>
      <c r="C55" s="70">
        <v>8</v>
      </c>
      <c r="D55" s="61">
        <v>0</v>
      </c>
      <c r="E55" s="168">
        <v>8</v>
      </c>
      <c r="F55" s="61">
        <v>0</v>
      </c>
      <c r="G55" s="70">
        <v>10</v>
      </c>
      <c r="H55" s="169">
        <v>0</v>
      </c>
      <c r="I55" s="70">
        <v>12</v>
      </c>
      <c r="J55" s="169">
        <v>0</v>
      </c>
      <c r="K55" s="70">
        <v>15</v>
      </c>
      <c r="L55" s="61">
        <v>0</v>
      </c>
      <c r="M55" s="94">
        <v>0</v>
      </c>
      <c r="N55" s="168">
        <f>C55+E55+G55+I55+K55</f>
        <v>53</v>
      </c>
      <c r="O55" s="61">
        <f>D55+F55+H55+J55+L55+M55</f>
        <v>0</v>
      </c>
    </row>
    <row r="56" spans="1:28" s="7" customFormat="1" ht="31.5" x14ac:dyDescent="0.25">
      <c r="A56" s="78"/>
      <c r="B56" s="68" t="s">
        <v>76</v>
      </c>
      <c r="C56" s="47">
        <v>2.572408E-2</v>
      </c>
      <c r="D56" s="36">
        <v>0</v>
      </c>
      <c r="E56" s="155">
        <v>2.693311E-2</v>
      </c>
      <c r="F56" s="36">
        <f>ROUND(D56*$I$3,8)</f>
        <v>0</v>
      </c>
      <c r="G56" s="47">
        <v>2.819897E-2</v>
      </c>
      <c r="H56" s="136">
        <f>ROUND(F56*$J$3,8)</f>
        <v>0</v>
      </c>
      <c r="I56" s="80">
        <v>2.952432E-2</v>
      </c>
      <c r="J56" s="136">
        <f>ROUND(H56*$K$3,8)</f>
        <v>0</v>
      </c>
      <c r="K56" s="35">
        <v>3.0911959999999999E-2</v>
      </c>
      <c r="L56" s="136">
        <f>ROUND(J56*$L$3,8)</f>
        <v>0</v>
      </c>
      <c r="M56" s="86">
        <f>ROUND(L56*$M$3,8)</f>
        <v>0</v>
      </c>
      <c r="N56" s="155"/>
      <c r="O56" s="48"/>
    </row>
    <row r="57" spans="1:28" ht="47.25" x14ac:dyDescent="0.25">
      <c r="A57" s="219" t="s">
        <v>16</v>
      </c>
      <c r="B57" s="138" t="s">
        <v>63</v>
      </c>
      <c r="C57" s="37">
        <v>6.6217211000000002</v>
      </c>
      <c r="D57" s="38">
        <f>ROUND((D54*D53)+(D55*D56),8)</f>
        <v>0</v>
      </c>
      <c r="E57" s="139">
        <v>5.8406697999999997</v>
      </c>
      <c r="F57" s="171">
        <f>ROUND((F54*F53)+(F55*F56),8)</f>
        <v>0</v>
      </c>
      <c r="G57" s="37">
        <v>4.3418037800000002</v>
      </c>
      <c r="H57" s="171">
        <f>ROUND((H54*H53)+(H55*H56),8)</f>
        <v>0</v>
      </c>
      <c r="I57" s="37">
        <v>5.2035966</v>
      </c>
      <c r="J57" s="140">
        <f>ROUND((J54*J53)+(J55*J56),8)</f>
        <v>0</v>
      </c>
      <c r="K57" s="37">
        <v>8.4556038000000004</v>
      </c>
      <c r="L57" s="38">
        <f>ROUND((L54*L53)+(L55*L56),8)</f>
        <v>0</v>
      </c>
      <c r="M57" s="87">
        <f>ROUND((M54*M53)+(M55*M56),8)</f>
        <v>0</v>
      </c>
      <c r="N57" s="139">
        <f t="shared" ref="N57:N64" si="16">C57+E57+G57+I57+K57</f>
        <v>30.463395079999998</v>
      </c>
      <c r="O57" s="38">
        <f t="shared" ref="O57:O64" si="17">D57+F57+H57+J57+L57+M57</f>
        <v>0</v>
      </c>
    </row>
    <row r="58" spans="1:28" ht="63.75" customHeight="1" x14ac:dyDescent="0.25">
      <c r="A58" s="220"/>
      <c r="B58" s="142" t="s">
        <v>64</v>
      </c>
      <c r="C58" s="56">
        <v>7.9460653200000007</v>
      </c>
      <c r="D58" s="40">
        <f>ROUND(D57*1.2,8)</f>
        <v>0</v>
      </c>
      <c r="E58" s="156">
        <v>7.0088037600000002</v>
      </c>
      <c r="F58" s="40">
        <f>ROUND(F57*1.2,8)</f>
        <v>0</v>
      </c>
      <c r="G58" s="56">
        <v>5.2101645400000001</v>
      </c>
      <c r="H58" s="40">
        <f>ROUND(H57*1.2,8)</f>
        <v>0</v>
      </c>
      <c r="I58" s="56">
        <v>6.24431592</v>
      </c>
      <c r="J58" s="144">
        <f>ROUND(J57*1.2,8)</f>
        <v>0</v>
      </c>
      <c r="K58" s="39">
        <v>10.146724559999999</v>
      </c>
      <c r="L58" s="40">
        <f>ROUND(L57*1.2,8)</f>
        <v>0</v>
      </c>
      <c r="M58" s="88">
        <f>ROUND(M57*1.2,8)</f>
        <v>0</v>
      </c>
      <c r="N58" s="156">
        <f t="shared" si="16"/>
        <v>36.556074100000004</v>
      </c>
      <c r="O58" s="49">
        <f t="shared" si="17"/>
        <v>0</v>
      </c>
    </row>
    <row r="59" spans="1:28" ht="48.75" customHeight="1" x14ac:dyDescent="0.25">
      <c r="A59" s="77" t="s">
        <v>39</v>
      </c>
      <c r="B59" s="172" t="s">
        <v>65</v>
      </c>
      <c r="C59" s="52">
        <v>0</v>
      </c>
      <c r="D59" s="53">
        <v>0</v>
      </c>
      <c r="E59" s="161">
        <v>0</v>
      </c>
      <c r="F59" s="53">
        <v>0</v>
      </c>
      <c r="G59" s="52">
        <v>0</v>
      </c>
      <c r="H59" s="162">
        <v>0</v>
      </c>
      <c r="I59" s="52">
        <v>0</v>
      </c>
      <c r="J59" s="162">
        <v>0</v>
      </c>
      <c r="K59" s="52">
        <v>0</v>
      </c>
      <c r="L59" s="53">
        <v>0</v>
      </c>
      <c r="M59" s="92">
        <v>0</v>
      </c>
      <c r="N59" s="192">
        <f t="shared" si="16"/>
        <v>0</v>
      </c>
      <c r="O59" s="72">
        <f t="shared" si="17"/>
        <v>0</v>
      </c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51.75" customHeight="1" x14ac:dyDescent="0.25">
      <c r="A60" s="69"/>
      <c r="B60" s="172" t="s">
        <v>66</v>
      </c>
      <c r="C60" s="52">
        <v>0</v>
      </c>
      <c r="D60" s="53">
        <v>0</v>
      </c>
      <c r="E60" s="161">
        <v>0</v>
      </c>
      <c r="F60" s="53">
        <v>0</v>
      </c>
      <c r="G60" s="52">
        <v>0</v>
      </c>
      <c r="H60" s="162">
        <v>0</v>
      </c>
      <c r="I60" s="52">
        <v>0</v>
      </c>
      <c r="J60" s="162">
        <v>0</v>
      </c>
      <c r="K60" s="52">
        <v>0</v>
      </c>
      <c r="L60" s="53">
        <v>0</v>
      </c>
      <c r="M60" s="92">
        <v>0</v>
      </c>
      <c r="N60" s="161">
        <f t="shared" si="16"/>
        <v>0</v>
      </c>
      <c r="O60" s="53">
        <f t="shared" si="17"/>
        <v>0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79" t="s">
        <v>30</v>
      </c>
      <c r="B61" s="173" t="s">
        <v>27</v>
      </c>
      <c r="C61" s="57">
        <v>180.71374329999998</v>
      </c>
      <c r="D61" s="58">
        <f>D14+D25+D29+D33</f>
        <v>184.79492738000002</v>
      </c>
      <c r="E61" s="174">
        <v>165.85161987000001</v>
      </c>
      <c r="F61" s="58">
        <f>F14+F25+F29+F33</f>
        <v>160.22001044999999</v>
      </c>
      <c r="G61" s="57">
        <v>137.84965973000001</v>
      </c>
      <c r="H61" s="58">
        <f>H14+H25+H29+H33</f>
        <v>176.95516796999999</v>
      </c>
      <c r="I61" s="57">
        <v>171.12573786000002</v>
      </c>
      <c r="J61" s="175">
        <f>J14+J25+J29+J33</f>
        <v>224.22056146</v>
      </c>
      <c r="K61" s="57">
        <v>232.50877312</v>
      </c>
      <c r="L61" s="58">
        <f>L14+L25+L29+L33</f>
        <v>310.53879041000005</v>
      </c>
      <c r="M61" s="95">
        <f>M14+M25+M29+M33</f>
        <v>302.30639522999996</v>
      </c>
      <c r="N61" s="174">
        <f t="shared" si="16"/>
        <v>888.04953388000001</v>
      </c>
      <c r="O61" s="58">
        <f t="shared" si="17"/>
        <v>1359.0358529</v>
      </c>
    </row>
    <row r="62" spans="1:28" ht="31.5" x14ac:dyDescent="0.25">
      <c r="A62" s="79" t="s">
        <v>31</v>
      </c>
      <c r="B62" s="173" t="s">
        <v>28</v>
      </c>
      <c r="C62" s="59">
        <v>45.190042339999998</v>
      </c>
      <c r="D62" s="60">
        <f>D43+D47+D51+D57</f>
        <v>41.103623399999996</v>
      </c>
      <c r="E62" s="177">
        <v>43.299328850000002</v>
      </c>
      <c r="F62" s="60">
        <f>F43+F47+F51+F57</f>
        <v>40.525051930000004</v>
      </c>
      <c r="G62" s="59">
        <v>34.511192080000001</v>
      </c>
      <c r="H62" s="60">
        <f>H43+H47+H51+H57</f>
        <v>36.182868990000003</v>
      </c>
      <c r="I62" s="59">
        <v>41.507880239999999</v>
      </c>
      <c r="J62" s="178">
        <f>J43+J47+J51+J57</f>
        <v>42.051678330000001</v>
      </c>
      <c r="K62" s="59">
        <v>55.961343719999995</v>
      </c>
      <c r="L62" s="60">
        <f>L43+L47+L51+L57</f>
        <v>53.602319900000005</v>
      </c>
      <c r="M62" s="96">
        <f>M43+M47+M51+M57</f>
        <v>51.326164620000007</v>
      </c>
      <c r="N62" s="177">
        <f t="shared" si="16"/>
        <v>220.46978723000001</v>
      </c>
      <c r="O62" s="60">
        <f t="shared" si="17"/>
        <v>264.79170717</v>
      </c>
      <c r="P62" s="5"/>
      <c r="Q62" s="5"/>
    </row>
    <row r="63" spans="1:28" ht="20.25" x14ac:dyDescent="0.25">
      <c r="A63" s="223" t="s">
        <v>32</v>
      </c>
      <c r="B63" s="180" t="s">
        <v>29</v>
      </c>
      <c r="C63" s="113">
        <v>225.90378564</v>
      </c>
      <c r="D63" s="114">
        <f>D61+D62</f>
        <v>225.89855078000002</v>
      </c>
      <c r="E63" s="181">
        <v>209.15094872</v>
      </c>
      <c r="F63" s="114">
        <f>F61+F62</f>
        <v>200.74506237999998</v>
      </c>
      <c r="G63" s="113">
        <v>172.36085181000001</v>
      </c>
      <c r="H63" s="114">
        <f>H61+H62</f>
        <v>213.13803695999999</v>
      </c>
      <c r="I63" s="113">
        <v>212.63361810000001</v>
      </c>
      <c r="J63" s="182">
        <f>J61+J62</f>
        <v>266.27223979000001</v>
      </c>
      <c r="K63" s="113">
        <v>288.47011684</v>
      </c>
      <c r="L63" s="114">
        <f>L61+L62</f>
        <v>364.14111031000004</v>
      </c>
      <c r="M63" s="115">
        <f>M61+M62</f>
        <v>353.63255984999995</v>
      </c>
      <c r="N63" s="181">
        <f t="shared" si="16"/>
        <v>1108.51932111</v>
      </c>
      <c r="O63" s="114">
        <f t="shared" si="17"/>
        <v>1623.8275600700001</v>
      </c>
      <c r="P63" s="5"/>
      <c r="Q63" s="5"/>
    </row>
    <row r="64" spans="1:28" ht="21" thickBot="1" x14ac:dyDescent="0.3">
      <c r="A64" s="224"/>
      <c r="B64" s="184" t="s">
        <v>42</v>
      </c>
      <c r="C64" s="117">
        <v>271.08454275999998</v>
      </c>
      <c r="D64" s="118">
        <f>ROUND(D63*1.2,8)</f>
        <v>271.07826094000001</v>
      </c>
      <c r="E64" s="185">
        <v>250.98113846000001</v>
      </c>
      <c r="F64" s="118">
        <f>ROUND(F63*1.2,8)</f>
        <v>240.89407485999999</v>
      </c>
      <c r="G64" s="117">
        <v>206.83302216999999</v>
      </c>
      <c r="H64" s="118">
        <f>ROUND(H63*1.2,8)</f>
        <v>255.76564435</v>
      </c>
      <c r="I64" s="117">
        <v>255.16034171999999</v>
      </c>
      <c r="J64" s="186">
        <f>ROUND(J63*1.2,8)</f>
        <v>319.52668775000001</v>
      </c>
      <c r="K64" s="117">
        <v>346.16414021000003</v>
      </c>
      <c r="L64" s="118">
        <f>ROUND(L63*1.2,8)</f>
        <v>436.96933237000002</v>
      </c>
      <c r="M64" s="119">
        <f>ROUND(M63*1.2,8)</f>
        <v>424.35907182</v>
      </c>
      <c r="N64" s="185">
        <f t="shared" si="16"/>
        <v>1330.2231853200001</v>
      </c>
      <c r="O64" s="118">
        <f t="shared" si="17"/>
        <v>1948.5930720900001</v>
      </c>
      <c r="P64" s="5"/>
      <c r="Q64" s="5"/>
    </row>
    <row r="65" spans="1:17" s="7" customFormat="1" ht="18.75" x14ac:dyDescent="0.25">
      <c r="A65" s="22"/>
      <c r="B65" s="28"/>
      <c r="C65" s="24"/>
      <c r="D65" s="21"/>
      <c r="E65" s="24"/>
      <c r="F65" s="21"/>
      <c r="G65" s="21"/>
      <c r="H65" s="21"/>
      <c r="I65" s="21"/>
      <c r="J65" s="21"/>
      <c r="K65" s="21"/>
      <c r="L65" s="21"/>
      <c r="M65" s="21"/>
      <c r="N65" s="26"/>
      <c r="O65" s="26"/>
      <c r="P65" s="12"/>
      <c r="Q65" s="12"/>
    </row>
    <row r="66" spans="1:17" s="7" customFormat="1" ht="18.75" x14ac:dyDescent="0.25">
      <c r="A66" s="22"/>
      <c r="B66" s="23"/>
      <c r="C66" s="24"/>
      <c r="D66" s="24"/>
      <c r="E66" s="24"/>
      <c r="F66" s="24"/>
      <c r="G66" s="24"/>
      <c r="H66" s="25"/>
      <c r="I66" s="25"/>
      <c r="J66" s="25"/>
      <c r="K66" s="25"/>
      <c r="L66" s="25"/>
      <c r="M66" s="25"/>
      <c r="N66" s="26"/>
      <c r="O66" s="26"/>
      <c r="P66" s="12"/>
      <c r="Q66" s="12"/>
    </row>
    <row r="67" spans="1:17" ht="44.25" customHeight="1" x14ac:dyDescent="0.35">
      <c r="A67" s="15"/>
      <c r="C67" s="16"/>
      <c r="D67" s="18" t="s">
        <v>81</v>
      </c>
      <c r="E67" s="16"/>
      <c r="F67" s="16"/>
      <c r="G67" s="16"/>
      <c r="I67" s="18"/>
      <c r="J67" s="18"/>
      <c r="K67" s="18" t="s">
        <v>33</v>
      </c>
      <c r="L67" s="18"/>
      <c r="M67" s="18"/>
      <c r="N67" s="17"/>
      <c r="O67" s="17"/>
      <c r="P67" s="5"/>
      <c r="Q67" s="5"/>
    </row>
    <row r="68" spans="1:17" ht="23.25" x14ac:dyDescent="0.35">
      <c r="A68" s="14"/>
      <c r="B68" s="13"/>
      <c r="C68" s="19"/>
      <c r="D68" s="20"/>
      <c r="E68" s="19"/>
      <c r="F68" s="20"/>
      <c r="G68" s="20"/>
      <c r="H68" s="20"/>
      <c r="I68" s="20"/>
      <c r="J68" s="20"/>
      <c r="K68" s="20"/>
      <c r="L68" s="20"/>
      <c r="M68" s="20"/>
      <c r="N68" s="19"/>
      <c r="O68" s="19"/>
      <c r="P68" s="5"/>
      <c r="Q68" s="5"/>
    </row>
  </sheetData>
  <mergeCells count="24">
    <mergeCell ref="A57:A58"/>
    <mergeCell ref="A63:A64"/>
    <mergeCell ref="A33:A34"/>
    <mergeCell ref="A35:A36"/>
    <mergeCell ref="A39:A40"/>
    <mergeCell ref="A43:A44"/>
    <mergeCell ref="A47:A48"/>
    <mergeCell ref="A51:A52"/>
    <mergeCell ref="A29:A30"/>
    <mergeCell ref="F1:M1"/>
    <mergeCell ref="A6:N6"/>
    <mergeCell ref="A8:A10"/>
    <mergeCell ref="B8:B10"/>
    <mergeCell ref="C8:D9"/>
    <mergeCell ref="E8:F9"/>
    <mergeCell ref="G8:H9"/>
    <mergeCell ref="I8:J9"/>
    <mergeCell ref="K8:L9"/>
    <mergeCell ref="M8:M10"/>
    <mergeCell ref="N8:O9"/>
    <mergeCell ref="A14:A15"/>
    <mergeCell ref="A19:A20"/>
    <mergeCell ref="A23:A24"/>
    <mergeCell ref="A25:A26"/>
  </mergeCells>
  <printOptions horizontalCentered="1"/>
  <pageMargins left="0.25" right="0.25" top="0.75" bottom="0.75" header="0.3" footer="0.3"/>
  <pageSetup paperSize="8" scale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B68"/>
  <sheetViews>
    <sheetView view="pageBreakPreview" zoomScale="60" zoomScaleNormal="100" workbookViewId="0">
      <pane xSplit="2" ySplit="10" topLeftCell="C11" activePane="bottomRight" state="frozen"/>
      <selection pane="topRight" activeCell="C1" sqref="C1"/>
      <selection pane="bottomLeft" activeCell="A8" sqref="A8"/>
      <selection pane="bottomRight" activeCell="F12" sqref="F12"/>
    </sheetView>
  </sheetViews>
  <sheetFormatPr defaultRowHeight="15" outlineLevelRow="2" x14ac:dyDescent="0.25"/>
  <cols>
    <col min="1" max="1" width="6.42578125" style="1" customWidth="1"/>
    <col min="2" max="2" width="59.140625" style="1" customWidth="1"/>
    <col min="3" max="3" width="21" style="1" customWidth="1"/>
    <col min="4" max="4" width="21.42578125" style="1" customWidth="1"/>
    <col min="5" max="5" width="21" style="1" customWidth="1"/>
    <col min="6" max="7" width="20.7109375" style="1" customWidth="1"/>
    <col min="8" max="8" width="21.140625" style="1" customWidth="1"/>
    <col min="9" max="9" width="23.42578125" style="1" bestFit="1" customWidth="1"/>
    <col min="10" max="13" width="23.42578125" style="1" customWidth="1"/>
    <col min="14" max="14" width="24.140625" style="1" customWidth="1"/>
    <col min="15" max="15" width="22.7109375" style="1" customWidth="1"/>
    <col min="16" max="16" width="16.140625" style="1" bestFit="1" customWidth="1"/>
    <col min="17" max="17" width="15.140625" style="1" bestFit="1" customWidth="1"/>
    <col min="18" max="18" width="25.5703125" style="1" bestFit="1" customWidth="1"/>
    <col min="19" max="19" width="38" style="1" bestFit="1" customWidth="1"/>
    <col min="20" max="20" width="13" style="1" customWidth="1"/>
    <col min="21" max="21" width="16.28515625" style="1" customWidth="1"/>
    <col min="22" max="22" width="14.85546875" style="1" customWidth="1"/>
    <col min="23" max="23" width="17.28515625" style="1" customWidth="1"/>
    <col min="24" max="24" width="15.85546875" style="1" customWidth="1"/>
    <col min="25" max="25" width="14.85546875" style="1" customWidth="1"/>
    <col min="26" max="16384" width="9.140625" style="1"/>
  </cols>
  <sheetData>
    <row r="1" spans="1:21" ht="36" customHeight="1" x14ac:dyDescent="0.25">
      <c r="F1" s="206" t="s">
        <v>78</v>
      </c>
      <c r="G1" s="206"/>
      <c r="H1" s="206"/>
      <c r="I1" s="206"/>
      <c r="J1" s="206"/>
      <c r="K1" s="206"/>
      <c r="L1" s="206"/>
      <c r="M1" s="206"/>
      <c r="N1" s="84"/>
      <c r="O1" s="82"/>
    </row>
    <row r="2" spans="1:21" x14ac:dyDescent="0.25">
      <c r="D2" s="83">
        <f>C63-D63</f>
        <v>1.0219560000010119E-2</v>
      </c>
      <c r="F2" s="30" t="s">
        <v>67</v>
      </c>
      <c r="G2" s="30" t="s">
        <v>68</v>
      </c>
      <c r="H2" s="30" t="s">
        <v>69</v>
      </c>
      <c r="I2" s="30" t="s">
        <v>70</v>
      </c>
      <c r="J2" s="30" t="s">
        <v>71</v>
      </c>
      <c r="K2" s="30" t="s">
        <v>72</v>
      </c>
      <c r="L2" s="30" t="s">
        <v>77</v>
      </c>
      <c r="M2" s="30" t="s">
        <v>79</v>
      </c>
      <c r="O2" s="71"/>
    </row>
    <row r="3" spans="1:21" x14ac:dyDescent="0.25">
      <c r="D3" s="8"/>
      <c r="F3" s="29">
        <v>1.0509999999999999</v>
      </c>
      <c r="G3" s="29">
        <v>1.0509999999999999</v>
      </c>
      <c r="H3" s="29">
        <v>1.0589999999999999</v>
      </c>
      <c r="I3" s="29">
        <v>1.0529999999999999</v>
      </c>
      <c r="J3" s="29">
        <v>1.048</v>
      </c>
      <c r="K3" s="29">
        <v>1.048</v>
      </c>
      <c r="L3" s="30">
        <v>1.048</v>
      </c>
      <c r="M3" s="30">
        <v>1.048</v>
      </c>
      <c r="O3" s="71"/>
      <c r="P3" s="71"/>
      <c r="Q3" s="71"/>
      <c r="R3" s="71"/>
      <c r="S3" s="71"/>
      <c r="T3" s="71"/>
      <c r="U3" s="71"/>
    </row>
    <row r="4" spans="1:21" ht="20.25" x14ac:dyDescent="0.3">
      <c r="B4" s="2"/>
      <c r="D4" s="83"/>
      <c r="F4" s="8"/>
      <c r="G4" s="8"/>
      <c r="H4" s="8"/>
      <c r="I4" s="8"/>
      <c r="J4" s="8"/>
      <c r="K4" s="8"/>
      <c r="L4" s="8"/>
      <c r="M4" s="8"/>
      <c r="N4" s="3"/>
      <c r="O4" s="27"/>
      <c r="P4" s="71"/>
      <c r="Q4" s="71"/>
      <c r="R4" s="71"/>
      <c r="S4" s="71"/>
      <c r="T4" s="71"/>
      <c r="U4" s="71"/>
    </row>
    <row r="5" spans="1:21" x14ac:dyDescent="0.25">
      <c r="D5" s="8"/>
      <c r="F5" s="8"/>
      <c r="H5" s="8"/>
      <c r="J5" s="8"/>
      <c r="K5" s="8"/>
      <c r="L5" s="8"/>
      <c r="M5" s="8"/>
      <c r="P5" s="81"/>
      <c r="Q5" s="81"/>
      <c r="R5" s="81"/>
      <c r="S5" s="81"/>
      <c r="T5" s="71"/>
      <c r="U5" s="71"/>
    </row>
    <row r="6" spans="1:21" ht="20.25" x14ac:dyDescent="0.25">
      <c r="A6" s="210" t="s">
        <v>88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P6" s="71"/>
      <c r="Q6" s="71"/>
      <c r="R6" s="71"/>
      <c r="S6" s="71"/>
      <c r="T6" s="71"/>
      <c r="U6" s="71"/>
    </row>
    <row r="7" spans="1:21" ht="16.5" thickBot="1" x14ac:dyDescent="0.3">
      <c r="N7" s="4"/>
      <c r="P7" s="71"/>
      <c r="Q7" s="71"/>
      <c r="R7" s="71"/>
      <c r="S7" s="71"/>
      <c r="T7" s="71"/>
      <c r="U7" s="71"/>
    </row>
    <row r="8" spans="1:21" ht="15.75" customHeight="1" x14ac:dyDescent="0.25">
      <c r="A8" s="211" t="s">
        <v>8</v>
      </c>
      <c r="B8" s="229" t="s">
        <v>7</v>
      </c>
      <c r="C8" s="202">
        <v>2023</v>
      </c>
      <c r="D8" s="203"/>
      <c r="E8" s="231">
        <v>2024</v>
      </c>
      <c r="F8" s="232"/>
      <c r="G8" s="235">
        <v>2025</v>
      </c>
      <c r="H8" s="232"/>
      <c r="I8" s="235">
        <v>2026</v>
      </c>
      <c r="J8" s="231"/>
      <c r="K8" s="239">
        <v>2027</v>
      </c>
      <c r="L8" s="240"/>
      <c r="M8" s="243">
        <v>2028</v>
      </c>
      <c r="N8" s="194" t="s">
        <v>0</v>
      </c>
      <c r="O8" s="194"/>
      <c r="P8" s="71"/>
      <c r="Q8" s="71"/>
      <c r="R8" s="71"/>
      <c r="S8" s="71"/>
      <c r="T8" s="71"/>
      <c r="U8" s="71"/>
    </row>
    <row r="9" spans="1:21" ht="15.75" customHeight="1" thickBot="1" x14ac:dyDescent="0.3">
      <c r="A9" s="212"/>
      <c r="B9" s="230"/>
      <c r="C9" s="204"/>
      <c r="D9" s="205"/>
      <c r="E9" s="233"/>
      <c r="F9" s="234"/>
      <c r="G9" s="236"/>
      <c r="H9" s="234"/>
      <c r="I9" s="237"/>
      <c r="J9" s="238"/>
      <c r="K9" s="241"/>
      <c r="L9" s="242"/>
      <c r="M9" s="244"/>
      <c r="N9" s="196"/>
      <c r="O9" s="196"/>
      <c r="P9" s="71"/>
      <c r="Q9" s="71"/>
      <c r="R9" s="71"/>
      <c r="S9" s="71"/>
      <c r="T9" s="71"/>
      <c r="U9" s="71"/>
    </row>
    <row r="10" spans="1:21" ht="16.5" thickBot="1" x14ac:dyDescent="0.3">
      <c r="A10" s="213"/>
      <c r="B10" s="225"/>
      <c r="C10" s="125" t="s">
        <v>19</v>
      </c>
      <c r="D10" s="124" t="s">
        <v>20</v>
      </c>
      <c r="E10" s="123" t="s">
        <v>19</v>
      </c>
      <c r="F10" s="124" t="s">
        <v>20</v>
      </c>
      <c r="G10" s="125" t="s">
        <v>19</v>
      </c>
      <c r="H10" s="126" t="s">
        <v>20</v>
      </c>
      <c r="I10" s="120" t="s">
        <v>19</v>
      </c>
      <c r="J10" s="127" t="s">
        <v>20</v>
      </c>
      <c r="K10" s="120" t="s">
        <v>19</v>
      </c>
      <c r="L10" s="121" t="s">
        <v>20</v>
      </c>
      <c r="M10" s="245"/>
      <c r="N10" s="190" t="s">
        <v>19</v>
      </c>
      <c r="O10" s="191" t="s">
        <v>20</v>
      </c>
    </row>
    <row r="11" spans="1:21" x14ac:dyDescent="0.25">
      <c r="A11" s="73">
        <v>1</v>
      </c>
      <c r="B11" s="73">
        <v>2</v>
      </c>
      <c r="C11" s="31">
        <v>5</v>
      </c>
      <c r="D11" s="32">
        <v>7</v>
      </c>
      <c r="E11" s="128">
        <v>9</v>
      </c>
      <c r="F11" s="32">
        <v>10</v>
      </c>
      <c r="G11" s="31">
        <v>11</v>
      </c>
      <c r="H11" s="129">
        <v>12</v>
      </c>
      <c r="I11" s="31">
        <v>13</v>
      </c>
      <c r="J11" s="129">
        <v>14</v>
      </c>
      <c r="K11" s="31">
        <v>15</v>
      </c>
      <c r="L11" s="32">
        <v>16</v>
      </c>
      <c r="M11" s="67">
        <v>17</v>
      </c>
      <c r="N11" s="128">
        <v>18</v>
      </c>
      <c r="O11" s="32">
        <v>19</v>
      </c>
      <c r="P11" s="63"/>
      <c r="Q11" s="63" t="s">
        <v>83</v>
      </c>
      <c r="R11" s="63" t="s">
        <v>82</v>
      </c>
      <c r="S11" s="63" t="s">
        <v>84</v>
      </c>
    </row>
    <row r="12" spans="1:21" ht="15.75" x14ac:dyDescent="0.25">
      <c r="A12" s="74" t="s">
        <v>11</v>
      </c>
      <c r="B12" s="130" t="s">
        <v>22</v>
      </c>
      <c r="C12" s="33">
        <v>6611</v>
      </c>
      <c r="D12" s="34">
        <v>5788</v>
      </c>
      <c r="E12" s="131">
        <v>1496</v>
      </c>
      <c r="F12" s="34">
        <f>2288-27</f>
        <v>2261</v>
      </c>
      <c r="G12" s="33">
        <v>1082</v>
      </c>
      <c r="H12" s="132">
        <v>1036</v>
      </c>
      <c r="I12" s="33">
        <v>1244</v>
      </c>
      <c r="J12" s="132">
        <v>2382</v>
      </c>
      <c r="K12" s="33">
        <v>1872</v>
      </c>
      <c r="L12" s="34">
        <v>1842</v>
      </c>
      <c r="M12" s="85">
        <v>2634</v>
      </c>
      <c r="N12" s="131">
        <f>C12+E12+G12+I12+K12</f>
        <v>12305</v>
      </c>
      <c r="O12" s="132">
        <f>D12+F12+H12+J12+L12+M12</f>
        <v>15943</v>
      </c>
      <c r="P12" s="62"/>
      <c r="Q12" s="62">
        <f>R12-O12</f>
        <v>0</v>
      </c>
      <c r="R12" s="62">
        <v>15943</v>
      </c>
      <c r="S12" s="62"/>
    </row>
    <row r="13" spans="1:21" ht="31.5" outlineLevel="1" x14ac:dyDescent="0.25">
      <c r="A13" s="75"/>
      <c r="B13" s="68" t="s">
        <v>40</v>
      </c>
      <c r="C13" s="35">
        <v>8.0773000000000008E-3</v>
      </c>
      <c r="D13" s="97">
        <v>1.21044E-2</v>
      </c>
      <c r="E13" s="135">
        <v>8.4569299999999997E-3</v>
      </c>
      <c r="F13" s="36">
        <f>ROUND(D13*$I$3,8)</f>
        <v>1.2745930000000001E-2</v>
      </c>
      <c r="G13" s="35">
        <v>8.8544100000000001E-3</v>
      </c>
      <c r="H13" s="136">
        <f>ROUND(F13*$J$3,8)</f>
        <v>1.335773E-2</v>
      </c>
      <c r="I13" s="35">
        <v>9.2705700000000005E-3</v>
      </c>
      <c r="J13" s="136">
        <f>ROUND(H13*$K$3,8)</f>
        <v>1.39989E-2</v>
      </c>
      <c r="K13" s="35">
        <v>9.7062899999999994E-3</v>
      </c>
      <c r="L13" s="136">
        <f>ROUND(J13*$L$3,8)</f>
        <v>1.4670849999999999E-2</v>
      </c>
      <c r="M13" s="86">
        <f>ROUND(L13*$M$3,8)</f>
        <v>1.5375049999999999E-2</v>
      </c>
      <c r="N13" s="152"/>
      <c r="O13" s="66"/>
      <c r="P13" s="10"/>
      <c r="Q13" s="7"/>
      <c r="R13" s="7"/>
      <c r="S13" s="7"/>
    </row>
    <row r="14" spans="1:21" ht="39" customHeight="1" collapsed="1" x14ac:dyDescent="0.25">
      <c r="A14" s="219" t="s">
        <v>34</v>
      </c>
      <c r="B14" s="138" t="s">
        <v>43</v>
      </c>
      <c r="C14" s="37">
        <v>53.399030300000007</v>
      </c>
      <c r="D14" s="38">
        <f>ROUND(D13*D12,8)</f>
        <v>70.060267199999998</v>
      </c>
      <c r="E14" s="139">
        <v>12.65156728</v>
      </c>
      <c r="F14" s="38">
        <f>ROUND(F13*F12,8)</f>
        <v>28.818547729999999</v>
      </c>
      <c r="G14" s="37">
        <v>9.5804716200000009</v>
      </c>
      <c r="H14" s="38">
        <f>ROUND(H13*H12,8)</f>
        <v>13.838608280000001</v>
      </c>
      <c r="I14" s="37">
        <v>11.532589079999999</v>
      </c>
      <c r="J14" s="140">
        <f>ROUND(J13*J12,8)</f>
        <v>33.345379800000003</v>
      </c>
      <c r="K14" s="37">
        <v>18.170174880000001</v>
      </c>
      <c r="L14" s="38">
        <f>ROUND(L13*L12,8)</f>
        <v>27.023705700000001</v>
      </c>
      <c r="M14" s="87">
        <f>ROUND(M13*M12,8)</f>
        <v>40.497881700000001</v>
      </c>
      <c r="N14" s="139">
        <f t="shared" ref="N14:N17" si="0">C14+E14+G14+I14+K14</f>
        <v>105.33383316</v>
      </c>
      <c r="O14" s="38">
        <f t="shared" ref="O14:O17" si="1">D14+F14+H14+J14+L14+M14</f>
        <v>213.58439041</v>
      </c>
      <c r="P14" s="10"/>
      <c r="Q14" s="7"/>
      <c r="R14" s="7"/>
      <c r="S14" s="7"/>
    </row>
    <row r="15" spans="1:21" ht="39" customHeight="1" x14ac:dyDescent="0.25">
      <c r="A15" s="220"/>
      <c r="B15" s="142" t="s">
        <v>44</v>
      </c>
      <c r="C15" s="39">
        <v>64.078836359999997</v>
      </c>
      <c r="D15" s="40">
        <f>ROUND(D14*1.2,8)</f>
        <v>84.072320640000001</v>
      </c>
      <c r="E15" s="143">
        <v>15.18188074</v>
      </c>
      <c r="F15" s="40">
        <f>ROUND(F14*1.2,8)</f>
        <v>34.58225728</v>
      </c>
      <c r="G15" s="39">
        <v>11.49656594</v>
      </c>
      <c r="H15" s="40">
        <f>ROUND(H14*1.2,8)</f>
        <v>16.606329939999998</v>
      </c>
      <c r="I15" s="39">
        <v>13.839106900000001</v>
      </c>
      <c r="J15" s="144">
        <f>ROUND(J14*1.2,8)</f>
        <v>40.014455759999997</v>
      </c>
      <c r="K15" s="39">
        <v>21.80420986</v>
      </c>
      <c r="L15" s="40">
        <f>ROUND(L14*1.2,8)</f>
        <v>32.428446839999999</v>
      </c>
      <c r="M15" s="88">
        <f>ROUND(M14*1.2,8)</f>
        <v>48.597458039999999</v>
      </c>
      <c r="N15" s="143">
        <f t="shared" si="0"/>
        <v>126.40059979999999</v>
      </c>
      <c r="O15" s="40">
        <f t="shared" si="1"/>
        <v>256.30126849999999</v>
      </c>
      <c r="P15" s="10"/>
      <c r="Q15" s="7"/>
      <c r="R15" s="7"/>
      <c r="S15" s="7"/>
    </row>
    <row r="16" spans="1:21" ht="15.75" x14ac:dyDescent="0.25">
      <c r="A16" s="74" t="s">
        <v>12</v>
      </c>
      <c r="B16" s="130" t="s">
        <v>21</v>
      </c>
      <c r="C16" s="33">
        <v>205</v>
      </c>
      <c r="D16" s="34">
        <f>D17+D21</f>
        <v>125</v>
      </c>
      <c r="E16" s="131">
        <v>47</v>
      </c>
      <c r="F16" s="34">
        <f>F17+F21</f>
        <v>296</v>
      </c>
      <c r="G16" s="33">
        <v>36</v>
      </c>
      <c r="H16" s="132">
        <f>H17+H21</f>
        <v>72</v>
      </c>
      <c r="I16" s="33">
        <v>37</v>
      </c>
      <c r="J16" s="132">
        <f>J17+J21</f>
        <v>57</v>
      </c>
      <c r="K16" s="33">
        <v>37</v>
      </c>
      <c r="L16" s="34">
        <f>L17+L21</f>
        <v>30</v>
      </c>
      <c r="M16" s="85">
        <f>M17+M21</f>
        <v>114</v>
      </c>
      <c r="N16" s="131">
        <f t="shared" si="0"/>
        <v>362</v>
      </c>
      <c r="O16" s="132">
        <f t="shared" si="1"/>
        <v>694</v>
      </c>
      <c r="P16" s="63"/>
      <c r="Q16" s="63"/>
      <c r="R16" s="63"/>
      <c r="S16" s="63"/>
    </row>
    <row r="17" spans="1:19" s="7" customFormat="1" ht="30" outlineLevel="1" x14ac:dyDescent="0.25">
      <c r="A17" s="76" t="s">
        <v>1</v>
      </c>
      <c r="B17" s="146" t="s">
        <v>36</v>
      </c>
      <c r="C17" s="41">
        <v>189</v>
      </c>
      <c r="D17" s="42">
        <v>105</v>
      </c>
      <c r="E17" s="147">
        <v>20</v>
      </c>
      <c r="F17" s="42">
        <v>160</v>
      </c>
      <c r="G17" s="41">
        <v>15</v>
      </c>
      <c r="H17" s="148">
        <v>51</v>
      </c>
      <c r="I17" s="41">
        <v>10</v>
      </c>
      <c r="J17" s="148">
        <v>28</v>
      </c>
      <c r="K17" s="41">
        <v>10</v>
      </c>
      <c r="L17" s="42">
        <v>17</v>
      </c>
      <c r="M17" s="89">
        <v>29</v>
      </c>
      <c r="N17" s="147">
        <f t="shared" si="0"/>
        <v>244</v>
      </c>
      <c r="O17" s="148">
        <f t="shared" si="1"/>
        <v>390</v>
      </c>
      <c r="P17" s="62"/>
      <c r="Q17" s="62">
        <f>R17-O17</f>
        <v>0</v>
      </c>
      <c r="R17" s="64">
        <v>390</v>
      </c>
      <c r="S17" s="64"/>
    </row>
    <row r="18" spans="1:19" s="7" customFormat="1" ht="31.5" outlineLevel="2" x14ac:dyDescent="0.25">
      <c r="A18" s="75"/>
      <c r="B18" s="68" t="s">
        <v>40</v>
      </c>
      <c r="C18" s="43">
        <v>1.6784E-2</v>
      </c>
      <c r="D18" s="97">
        <v>2.1429070000000001E-2</v>
      </c>
      <c r="E18" s="150">
        <v>1.7572850000000001E-2</v>
      </c>
      <c r="F18" s="36">
        <f>ROUND(D18*$I$3,8)</f>
        <v>2.2564810000000001E-2</v>
      </c>
      <c r="G18" s="43">
        <v>1.8398769999999998E-2</v>
      </c>
      <c r="H18" s="136">
        <f>ROUND(F18*$J$3,8)</f>
        <v>2.3647919999999999E-2</v>
      </c>
      <c r="I18" s="35">
        <v>1.9263510000000001E-2</v>
      </c>
      <c r="J18" s="136">
        <f>ROUND(H18*$K$3,8)</f>
        <v>2.4783019999999999E-2</v>
      </c>
      <c r="K18" s="35">
        <v>2.0168889999999998E-2</v>
      </c>
      <c r="L18" s="136">
        <f>ROUND(J18*$L$3,8)</f>
        <v>2.5972599999999998E-2</v>
      </c>
      <c r="M18" s="86">
        <f>ROUND(L18*$M$3,8)</f>
        <v>2.7219279999999998E-2</v>
      </c>
      <c r="N18" s="152"/>
      <c r="O18" s="66"/>
      <c r="P18" s="10"/>
    </row>
    <row r="19" spans="1:19" s="7" customFormat="1" ht="31.5" outlineLevel="2" collapsed="1" x14ac:dyDescent="0.25">
      <c r="A19" s="219"/>
      <c r="B19" s="138" t="s">
        <v>45</v>
      </c>
      <c r="C19" s="44">
        <v>3.1721759999999999</v>
      </c>
      <c r="D19" s="38">
        <f>ROUND(D18*D17,8)</f>
        <v>2.2500523499999998</v>
      </c>
      <c r="E19" s="151">
        <v>0.35145700000000002</v>
      </c>
      <c r="F19" s="38">
        <f>ROUND(F18*F17,8)</f>
        <v>3.6103695999999998</v>
      </c>
      <c r="G19" s="44">
        <v>0.27598155000000002</v>
      </c>
      <c r="H19" s="38">
        <f>ROUND(H18*H17,8)</f>
        <v>1.2060439199999999</v>
      </c>
      <c r="I19" s="44">
        <v>0.1926351</v>
      </c>
      <c r="J19" s="140">
        <f>ROUND(J18*J17,8)</f>
        <v>0.69392456000000002</v>
      </c>
      <c r="K19" s="37">
        <v>0.2016889</v>
      </c>
      <c r="L19" s="38">
        <f>ROUND(L18*L17,8)</f>
        <v>0.44153419999999999</v>
      </c>
      <c r="M19" s="87">
        <f>ROUND(M18*M17,8)</f>
        <v>0.78935911999999997</v>
      </c>
      <c r="N19" s="139">
        <f t="shared" ref="N19:N21" si="2">C19+E19+G19+I19+K19</f>
        <v>4.1939385499999995</v>
      </c>
      <c r="O19" s="38">
        <f t="shared" ref="O19:O21" si="3">D19+F19+H19+J19+L19+M19</f>
        <v>8.9912837499999991</v>
      </c>
      <c r="P19" s="10"/>
    </row>
    <row r="20" spans="1:19" s="7" customFormat="1" ht="32.25" customHeight="1" outlineLevel="2" x14ac:dyDescent="0.25">
      <c r="A20" s="220"/>
      <c r="B20" s="142" t="s">
        <v>46</v>
      </c>
      <c r="C20" s="39">
        <v>3.8066111999999999</v>
      </c>
      <c r="D20" s="40">
        <f>ROUND(D19*1.2,8)</f>
        <v>2.7000628199999999</v>
      </c>
      <c r="E20" s="143">
        <v>0.42174840000000002</v>
      </c>
      <c r="F20" s="40">
        <f>ROUND(F19*1.2,8)</f>
        <v>4.33244352</v>
      </c>
      <c r="G20" s="39">
        <v>0.33117785999999999</v>
      </c>
      <c r="H20" s="40">
        <f>ROUND(H19*1.2,8)</f>
        <v>1.4472526999999999</v>
      </c>
      <c r="I20" s="39">
        <v>0.23116212</v>
      </c>
      <c r="J20" s="144">
        <f>ROUND(J19*1.2,8)</f>
        <v>0.83270946999999995</v>
      </c>
      <c r="K20" s="39">
        <v>0.24202667999999999</v>
      </c>
      <c r="L20" s="40">
        <f>ROUND(L19*1.2,8)</f>
        <v>0.52984103999999999</v>
      </c>
      <c r="M20" s="88">
        <f>ROUND(M19*1.2,8)</f>
        <v>0.94723093999999997</v>
      </c>
      <c r="N20" s="156">
        <f t="shared" si="2"/>
        <v>5.0327262600000005</v>
      </c>
      <c r="O20" s="49">
        <f t="shared" si="3"/>
        <v>10.78954049</v>
      </c>
      <c r="P20" s="63"/>
      <c r="Q20" s="63"/>
      <c r="R20" s="63"/>
      <c r="S20" s="63"/>
    </row>
    <row r="21" spans="1:19" s="7" customFormat="1" ht="30" outlineLevel="1" x14ac:dyDescent="0.25">
      <c r="A21" s="76" t="s">
        <v>2</v>
      </c>
      <c r="B21" s="146" t="s">
        <v>37</v>
      </c>
      <c r="C21" s="41">
        <v>16</v>
      </c>
      <c r="D21" s="42">
        <v>20</v>
      </c>
      <c r="E21" s="147">
        <v>27</v>
      </c>
      <c r="F21" s="42">
        <v>136</v>
      </c>
      <c r="G21" s="41">
        <v>21</v>
      </c>
      <c r="H21" s="148">
        <v>21</v>
      </c>
      <c r="I21" s="41">
        <v>27</v>
      </c>
      <c r="J21" s="148">
        <v>29</v>
      </c>
      <c r="K21" s="41">
        <v>27</v>
      </c>
      <c r="L21" s="42">
        <v>13</v>
      </c>
      <c r="M21" s="89">
        <v>85</v>
      </c>
      <c r="N21" s="147">
        <f t="shared" si="2"/>
        <v>118</v>
      </c>
      <c r="O21" s="148">
        <f t="shared" si="3"/>
        <v>304</v>
      </c>
      <c r="P21" s="62"/>
      <c r="Q21" s="62">
        <f>R21-O21</f>
        <v>0</v>
      </c>
      <c r="R21" s="64">
        <v>304</v>
      </c>
      <c r="S21" s="64"/>
    </row>
    <row r="22" spans="1:19" s="7" customFormat="1" ht="31.5" outlineLevel="2" x14ac:dyDescent="0.25">
      <c r="A22" s="75"/>
      <c r="B22" s="68" t="s">
        <v>40</v>
      </c>
      <c r="C22" s="46">
        <v>1.6784E-2</v>
      </c>
      <c r="D22" s="97">
        <v>2.032202E-2</v>
      </c>
      <c r="E22" s="152">
        <v>1.7572850000000001E-2</v>
      </c>
      <c r="F22" s="36">
        <f>ROUND(D22*$I$3,8)</f>
        <v>2.1399089999999999E-2</v>
      </c>
      <c r="G22" s="46">
        <v>1.8398769999999998E-2</v>
      </c>
      <c r="H22" s="136">
        <f>ROUND(F22*$J$3,8)</f>
        <v>2.2426249999999998E-2</v>
      </c>
      <c r="I22" s="35">
        <v>1.9263510000000001E-2</v>
      </c>
      <c r="J22" s="136">
        <f>ROUND(H22*$K$3,8)</f>
        <v>2.350271E-2</v>
      </c>
      <c r="K22" s="35">
        <v>2.0168889999999998E-2</v>
      </c>
      <c r="L22" s="136">
        <f>ROUND(J22*$L$3,8)</f>
        <v>2.4630840000000001E-2</v>
      </c>
      <c r="M22" s="86">
        <f>ROUND(L22*$M$3,8)</f>
        <v>2.5813119999999998E-2</v>
      </c>
      <c r="N22" s="152"/>
      <c r="O22" s="66"/>
      <c r="P22" s="10"/>
    </row>
    <row r="23" spans="1:19" s="7" customFormat="1" ht="31.5" outlineLevel="2" collapsed="1" x14ac:dyDescent="0.25">
      <c r="A23" s="219"/>
      <c r="B23" s="138" t="s">
        <v>47</v>
      </c>
      <c r="C23" s="37">
        <v>0.268544</v>
      </c>
      <c r="D23" s="38">
        <f>ROUND(D22*D21,8)</f>
        <v>0.40644039999999998</v>
      </c>
      <c r="E23" s="139">
        <v>0.47446695</v>
      </c>
      <c r="F23" s="38">
        <f>ROUND(F22*F21,8)</f>
        <v>2.91027624</v>
      </c>
      <c r="G23" s="44">
        <v>0.38637417000000002</v>
      </c>
      <c r="H23" s="38">
        <f>ROUND(H22*H21,8)</f>
        <v>0.47095124999999999</v>
      </c>
      <c r="I23" s="44">
        <v>0.52011476999999995</v>
      </c>
      <c r="J23" s="140">
        <f>ROUND(J22*J21,8)</f>
        <v>0.68157858999999998</v>
      </c>
      <c r="K23" s="37">
        <v>0.54456002999999997</v>
      </c>
      <c r="L23" s="38">
        <f>ROUND(L22*L21,8)</f>
        <v>0.32020092</v>
      </c>
      <c r="M23" s="87">
        <f>ROUND(M22*M21,8)</f>
        <v>2.1941152000000002</v>
      </c>
      <c r="N23" s="139">
        <f t="shared" ref="N23:N27" si="4">C23+E23+G23+I23+K23</f>
        <v>2.1940599199999999</v>
      </c>
      <c r="O23" s="38">
        <f t="shared" ref="O23:O27" si="5">D23+F23+H23+J23+L23+M23</f>
        <v>6.9835626000000008</v>
      </c>
      <c r="P23" s="10"/>
    </row>
    <row r="24" spans="1:19" s="7" customFormat="1" ht="31.5" outlineLevel="2" x14ac:dyDescent="0.25">
      <c r="A24" s="220"/>
      <c r="B24" s="142" t="s">
        <v>48</v>
      </c>
      <c r="C24" s="39">
        <v>0.32225280000000001</v>
      </c>
      <c r="D24" s="40">
        <f>ROUND(D23*1.2,8)</f>
        <v>0.48772848000000002</v>
      </c>
      <c r="E24" s="143">
        <v>0.56936034000000002</v>
      </c>
      <c r="F24" s="40">
        <f>ROUND(F23*1.2,8)</f>
        <v>3.4923314900000002</v>
      </c>
      <c r="G24" s="39">
        <v>0.46364899999999998</v>
      </c>
      <c r="H24" s="40">
        <f>ROUND(H23*1.2,8)</f>
        <v>0.56514149999999996</v>
      </c>
      <c r="I24" s="39">
        <v>0.62413772000000001</v>
      </c>
      <c r="J24" s="144">
        <f>ROUND(J23*1.2,8)</f>
        <v>0.81789431000000001</v>
      </c>
      <c r="K24" s="39">
        <v>0.65347204000000003</v>
      </c>
      <c r="L24" s="40">
        <f>ROUND(L23*1.2,8)</f>
        <v>0.3842411</v>
      </c>
      <c r="M24" s="88">
        <f>ROUND(M23*1.2,8)</f>
        <v>2.6329382400000001</v>
      </c>
      <c r="N24" s="156">
        <f t="shared" si="4"/>
        <v>2.6328719</v>
      </c>
      <c r="O24" s="49">
        <f t="shared" si="5"/>
        <v>8.3802751200000003</v>
      </c>
      <c r="P24" s="10"/>
    </row>
    <row r="25" spans="1:19" s="7" customFormat="1" ht="31.5" collapsed="1" x14ac:dyDescent="0.25">
      <c r="A25" s="219" t="s">
        <v>62</v>
      </c>
      <c r="B25" s="138" t="s">
        <v>41</v>
      </c>
      <c r="C25" s="44">
        <v>3.4407199999999998</v>
      </c>
      <c r="D25" s="45">
        <f>D19+D23</f>
        <v>2.65649275</v>
      </c>
      <c r="E25" s="151">
        <v>0.82592394999999996</v>
      </c>
      <c r="F25" s="45">
        <f>F19+F23</f>
        <v>6.5206458400000002</v>
      </c>
      <c r="G25" s="44">
        <v>0.66235572000000009</v>
      </c>
      <c r="H25" s="45">
        <f>H19+H23</f>
        <v>1.6769951699999999</v>
      </c>
      <c r="I25" s="44">
        <v>0.7127498699999999</v>
      </c>
      <c r="J25" s="153">
        <f>J19+J23</f>
        <v>1.3755031500000001</v>
      </c>
      <c r="K25" s="44">
        <v>0.74624892999999992</v>
      </c>
      <c r="L25" s="45">
        <f>L19+L23</f>
        <v>0.76173511999999999</v>
      </c>
      <c r="M25" s="90">
        <f>M19+M23</f>
        <v>2.98347432</v>
      </c>
      <c r="N25" s="139">
        <f t="shared" si="4"/>
        <v>6.3879984699999994</v>
      </c>
      <c r="O25" s="38">
        <f t="shared" si="5"/>
        <v>15.97484635</v>
      </c>
      <c r="P25" s="10"/>
    </row>
    <row r="26" spans="1:19" s="7" customFormat="1" ht="36" customHeight="1" x14ac:dyDescent="0.25">
      <c r="A26" s="220"/>
      <c r="B26" s="142" t="s">
        <v>49</v>
      </c>
      <c r="C26" s="39">
        <v>4.1288640000000001</v>
      </c>
      <c r="D26" s="40">
        <f>D20+D24</f>
        <v>3.1877912999999998</v>
      </c>
      <c r="E26" s="143">
        <v>0.99110874000000004</v>
      </c>
      <c r="F26" s="40">
        <f>F20+F24</f>
        <v>7.8247750099999998</v>
      </c>
      <c r="G26" s="39">
        <v>0.79482685999999991</v>
      </c>
      <c r="H26" s="40">
        <f>H20+H24</f>
        <v>2.0123942000000001</v>
      </c>
      <c r="I26" s="39">
        <v>0.85529984000000003</v>
      </c>
      <c r="J26" s="144">
        <f>J20+J24</f>
        <v>1.65060378</v>
      </c>
      <c r="K26" s="39">
        <v>0.89549871999999997</v>
      </c>
      <c r="L26" s="40">
        <f>L20+L24</f>
        <v>0.91408213999999999</v>
      </c>
      <c r="M26" s="88">
        <f>M20+M24</f>
        <v>3.58016918</v>
      </c>
      <c r="N26" s="156">
        <f t="shared" si="4"/>
        <v>7.6655981599999992</v>
      </c>
      <c r="O26" s="49">
        <f t="shared" si="5"/>
        <v>19.169815610000001</v>
      </c>
      <c r="P26" s="63"/>
      <c r="Q26" s="63"/>
      <c r="R26" s="63"/>
      <c r="S26" s="63"/>
    </row>
    <row r="27" spans="1:19" ht="15.75" x14ac:dyDescent="0.25">
      <c r="A27" s="74" t="s">
        <v>13</v>
      </c>
      <c r="B27" s="130" t="s">
        <v>9</v>
      </c>
      <c r="C27" s="33">
        <v>154</v>
      </c>
      <c r="D27" s="34">
        <v>126</v>
      </c>
      <c r="E27" s="131">
        <v>175</v>
      </c>
      <c r="F27" s="34">
        <v>170</v>
      </c>
      <c r="G27" s="33">
        <v>521</v>
      </c>
      <c r="H27" s="132">
        <v>531</v>
      </c>
      <c r="I27" s="33">
        <v>401</v>
      </c>
      <c r="J27" s="132">
        <v>401</v>
      </c>
      <c r="K27" s="33">
        <v>453</v>
      </c>
      <c r="L27" s="34">
        <v>49</v>
      </c>
      <c r="M27" s="85">
        <v>18</v>
      </c>
      <c r="N27" s="131">
        <f t="shared" si="4"/>
        <v>1704</v>
      </c>
      <c r="O27" s="132">
        <f t="shared" si="5"/>
        <v>1295</v>
      </c>
      <c r="P27" s="63"/>
      <c r="Q27" s="62">
        <f>R27-O27</f>
        <v>0</v>
      </c>
      <c r="R27" s="63">
        <v>1295</v>
      </c>
      <c r="S27" s="63"/>
    </row>
    <row r="28" spans="1:19" s="7" customFormat="1" ht="33" customHeight="1" outlineLevel="1" x14ac:dyDescent="0.25">
      <c r="A28" s="75"/>
      <c r="B28" s="68" t="s">
        <v>40</v>
      </c>
      <c r="C28" s="47">
        <v>1.6735999999999999E-3</v>
      </c>
      <c r="D28" s="97">
        <f>ROUND(0.001488*$H$3,8)</f>
        <v>1.5757900000000001E-3</v>
      </c>
      <c r="E28" s="155">
        <v>1.7522600000000001E-3</v>
      </c>
      <c r="F28" s="36">
        <f>ROUND(D28*$I$3,8)</f>
        <v>1.65931E-3</v>
      </c>
      <c r="G28" s="47">
        <v>1.8346199999999999E-3</v>
      </c>
      <c r="H28" s="136">
        <f>ROUND(F28*$J$3,8)</f>
        <v>1.7389599999999999E-3</v>
      </c>
      <c r="I28" s="47">
        <v>1.92085E-3</v>
      </c>
      <c r="J28" s="136">
        <f>ROUND(H28*$K$3,8)</f>
        <v>1.8224300000000001E-3</v>
      </c>
      <c r="K28" s="35">
        <v>2.0111299999999999E-3</v>
      </c>
      <c r="L28" s="136">
        <f>ROUND(J28*$L$3,8)</f>
        <v>1.9099099999999999E-3</v>
      </c>
      <c r="M28" s="86">
        <f>ROUND(L28*$M$3,8)</f>
        <v>2.0015900000000001E-3</v>
      </c>
      <c r="N28" s="155"/>
      <c r="O28" s="48"/>
    </row>
    <row r="29" spans="1:19" ht="31.5" collapsed="1" x14ac:dyDescent="0.25">
      <c r="A29" s="219" t="s">
        <v>3</v>
      </c>
      <c r="B29" s="138" t="s">
        <v>50</v>
      </c>
      <c r="C29" s="37">
        <v>0.25773439999999997</v>
      </c>
      <c r="D29" s="38">
        <f>ROUND(D28*D27,8)</f>
        <v>0.19854954</v>
      </c>
      <c r="E29" s="139">
        <v>0.30664550000000002</v>
      </c>
      <c r="F29" s="38">
        <f>ROUND(F28*F27,8)</f>
        <v>0.28208270000000002</v>
      </c>
      <c r="G29" s="37">
        <v>0.95583702000000004</v>
      </c>
      <c r="H29" s="38">
        <f>ROUND(H28*H27,8)</f>
        <v>0.92338776</v>
      </c>
      <c r="I29" s="37">
        <v>0.77026085</v>
      </c>
      <c r="J29" s="140">
        <f>ROUND(J28*J27,8)</f>
        <v>0.73079442999999999</v>
      </c>
      <c r="K29" s="37">
        <v>0.91104189000000002</v>
      </c>
      <c r="L29" s="38">
        <f>ROUND(L28*L27,8)</f>
        <v>9.3585589999999996E-2</v>
      </c>
      <c r="M29" s="87">
        <f>ROUND(M28*M27,8)</f>
        <v>3.6028619999999997E-2</v>
      </c>
      <c r="N29" s="139">
        <f t="shared" ref="N29:N31" si="6">C29+E29+G29+I29+K29</f>
        <v>3.2015196600000002</v>
      </c>
      <c r="O29" s="38">
        <f t="shared" ref="O29:O31" si="7">D29+F29+H29+J29+L29+M29</f>
        <v>2.2644286400000002</v>
      </c>
    </row>
    <row r="30" spans="1:19" ht="31.5" customHeight="1" x14ac:dyDescent="0.25">
      <c r="A30" s="220"/>
      <c r="B30" s="142" t="s">
        <v>51</v>
      </c>
      <c r="C30" s="56">
        <v>0.30928127999999999</v>
      </c>
      <c r="D30" s="40">
        <f>ROUND(D29*1.2,8)</f>
        <v>0.23825945000000001</v>
      </c>
      <c r="E30" s="156">
        <v>0.36797459999999999</v>
      </c>
      <c r="F30" s="40">
        <f>ROUND(F29*1.2,8)</f>
        <v>0.33849923999999998</v>
      </c>
      <c r="G30" s="56">
        <v>1.14700442</v>
      </c>
      <c r="H30" s="40">
        <f>ROUND(H29*1.2,8)</f>
        <v>1.10806531</v>
      </c>
      <c r="I30" s="56">
        <v>0.92431302000000004</v>
      </c>
      <c r="J30" s="144">
        <f>ROUND(J29*1.2,8)</f>
        <v>0.87695332000000004</v>
      </c>
      <c r="K30" s="39">
        <v>1.09325027</v>
      </c>
      <c r="L30" s="40">
        <f>ROUND(L29*1.2,8)</f>
        <v>0.11230271</v>
      </c>
      <c r="M30" s="88">
        <f>ROUND(M29*1.2,8)</f>
        <v>4.3234340000000003E-2</v>
      </c>
      <c r="N30" s="156">
        <f t="shared" si="6"/>
        <v>3.8418235900000002</v>
      </c>
      <c r="O30" s="49">
        <f t="shared" si="7"/>
        <v>2.71731437</v>
      </c>
    </row>
    <row r="31" spans="1:19" ht="31.5" x14ac:dyDescent="0.25">
      <c r="A31" s="74" t="s">
        <v>14</v>
      </c>
      <c r="B31" s="130" t="s">
        <v>10</v>
      </c>
      <c r="C31" s="33">
        <v>135</v>
      </c>
      <c r="D31" s="34">
        <v>0</v>
      </c>
      <c r="E31" s="131">
        <v>26</v>
      </c>
      <c r="F31" s="34">
        <v>0</v>
      </c>
      <c r="G31" s="33">
        <v>26</v>
      </c>
      <c r="H31" s="132">
        <v>0</v>
      </c>
      <c r="I31" s="33">
        <v>36</v>
      </c>
      <c r="J31" s="132">
        <v>0</v>
      </c>
      <c r="K31" s="33">
        <v>32</v>
      </c>
      <c r="L31" s="34">
        <v>0</v>
      </c>
      <c r="M31" s="85">
        <v>0</v>
      </c>
      <c r="N31" s="131">
        <f t="shared" si="6"/>
        <v>255</v>
      </c>
      <c r="O31" s="34">
        <f t="shared" si="7"/>
        <v>0</v>
      </c>
    </row>
    <row r="32" spans="1:19" s="7" customFormat="1" ht="37.5" customHeight="1" outlineLevel="1" x14ac:dyDescent="0.25">
      <c r="A32" s="75"/>
      <c r="B32" s="68" t="s">
        <v>40</v>
      </c>
      <c r="C32" s="47">
        <v>0.10489999999999999</v>
      </c>
      <c r="D32" s="97">
        <v>0.13090299999999999</v>
      </c>
      <c r="E32" s="150">
        <v>0.10983030000000001</v>
      </c>
      <c r="F32" s="36">
        <f>ROUND(D32*$I$3,8)</f>
        <v>0.13784086000000001</v>
      </c>
      <c r="G32" s="43">
        <v>0.11499232</v>
      </c>
      <c r="H32" s="136">
        <f>ROUND(F32*$J$3,8)</f>
        <v>0.14445722</v>
      </c>
      <c r="I32" s="35">
        <v>0.12039696</v>
      </c>
      <c r="J32" s="136">
        <f>ROUND(H32*$K$3,8)</f>
        <v>0.15139116999999999</v>
      </c>
      <c r="K32" s="35">
        <v>0.12605562000000001</v>
      </c>
      <c r="L32" s="136">
        <f>ROUND(J32*$L$3,8)</f>
        <v>0.15865794999999999</v>
      </c>
      <c r="M32" s="86">
        <f>ROUND(L32*$M$3,8)</f>
        <v>0.16627353</v>
      </c>
      <c r="N32" s="152"/>
      <c r="O32" s="66"/>
    </row>
    <row r="33" spans="1:21" s="7" customFormat="1" ht="31.5" customHeight="1" collapsed="1" x14ac:dyDescent="0.25">
      <c r="A33" s="219" t="s">
        <v>4</v>
      </c>
      <c r="B33" s="138" t="s">
        <v>52</v>
      </c>
      <c r="C33" s="37">
        <v>14.1615</v>
      </c>
      <c r="D33" s="38">
        <f>ROUND(D32*D31,8)</f>
        <v>0</v>
      </c>
      <c r="E33" s="139">
        <v>2.8555877999999999</v>
      </c>
      <c r="F33" s="38">
        <f>ROUND(F32*F31,8)</f>
        <v>0</v>
      </c>
      <c r="G33" s="37">
        <v>2.9898003200000001</v>
      </c>
      <c r="H33" s="38">
        <f>ROUND(H32*H31,8)</f>
        <v>0</v>
      </c>
      <c r="I33" s="37">
        <v>4.3342905600000003</v>
      </c>
      <c r="J33" s="140">
        <f>ROUND(J32*J31,8)</f>
        <v>0</v>
      </c>
      <c r="K33" s="37">
        <v>4.0337798400000002</v>
      </c>
      <c r="L33" s="38">
        <f>ROUND(L32*L31,8)</f>
        <v>0</v>
      </c>
      <c r="M33" s="87">
        <f>ROUND(M32*M31,8)</f>
        <v>0</v>
      </c>
      <c r="N33" s="139">
        <f t="shared" ref="N33:N41" si="8">C33+E33+G33+I33+K33</f>
        <v>28.37495852</v>
      </c>
      <c r="O33" s="38">
        <f t="shared" ref="O33:O41" si="9">D33+F33+H33+J33+L33+M33</f>
        <v>0</v>
      </c>
    </row>
    <row r="34" spans="1:21" s="7" customFormat="1" ht="31.5" customHeight="1" x14ac:dyDescent="0.25">
      <c r="A34" s="220"/>
      <c r="B34" s="142" t="s">
        <v>53</v>
      </c>
      <c r="C34" s="56">
        <v>16.9938</v>
      </c>
      <c r="D34" s="40">
        <f>ROUND(D33*1.2,8)</f>
        <v>0</v>
      </c>
      <c r="E34" s="156">
        <v>3.4267053600000001</v>
      </c>
      <c r="F34" s="40">
        <f>ROUND(F33*1.2,8)</f>
        <v>0</v>
      </c>
      <c r="G34" s="56">
        <v>3.5877603800000002</v>
      </c>
      <c r="H34" s="40">
        <f>ROUND(H33*1.2,8)</f>
        <v>0</v>
      </c>
      <c r="I34" s="56">
        <v>5.2011486700000003</v>
      </c>
      <c r="J34" s="144">
        <f>ROUND(J33*1.2,8)</f>
        <v>0</v>
      </c>
      <c r="K34" s="39">
        <v>4.8405358100000004</v>
      </c>
      <c r="L34" s="40">
        <f>ROUND(L33*1.2,8)</f>
        <v>0</v>
      </c>
      <c r="M34" s="88">
        <f>ROUND(M33*1.2,8)</f>
        <v>0</v>
      </c>
      <c r="N34" s="156">
        <f t="shared" si="8"/>
        <v>34.049950219999999</v>
      </c>
      <c r="O34" s="49">
        <f t="shared" si="9"/>
        <v>0</v>
      </c>
    </row>
    <row r="35" spans="1:21" ht="15.75" x14ac:dyDescent="0.25">
      <c r="A35" s="217" t="s">
        <v>15</v>
      </c>
      <c r="B35" s="130" t="s">
        <v>55</v>
      </c>
      <c r="C35" s="50">
        <v>0</v>
      </c>
      <c r="D35" s="51">
        <v>0</v>
      </c>
      <c r="E35" s="157">
        <v>0</v>
      </c>
      <c r="F35" s="51">
        <v>0</v>
      </c>
      <c r="G35" s="50">
        <v>0</v>
      </c>
      <c r="H35" s="158">
        <v>0</v>
      </c>
      <c r="I35" s="50">
        <v>0</v>
      </c>
      <c r="J35" s="158">
        <v>0</v>
      </c>
      <c r="K35" s="50">
        <v>0</v>
      </c>
      <c r="L35" s="51">
        <v>0</v>
      </c>
      <c r="M35" s="91">
        <v>0</v>
      </c>
      <c r="N35" s="157">
        <f t="shared" si="8"/>
        <v>0</v>
      </c>
      <c r="O35" s="51">
        <f t="shared" si="9"/>
        <v>0</v>
      </c>
    </row>
    <row r="36" spans="1:21" ht="42" customHeight="1" x14ac:dyDescent="0.25">
      <c r="A36" s="218"/>
      <c r="B36" s="130" t="s">
        <v>54</v>
      </c>
      <c r="C36" s="50">
        <v>0</v>
      </c>
      <c r="D36" s="51">
        <v>0</v>
      </c>
      <c r="E36" s="157">
        <v>0</v>
      </c>
      <c r="F36" s="51">
        <v>0</v>
      </c>
      <c r="G36" s="50">
        <v>0</v>
      </c>
      <c r="H36" s="158">
        <v>0</v>
      </c>
      <c r="I36" s="50">
        <v>0</v>
      </c>
      <c r="J36" s="158">
        <v>0</v>
      </c>
      <c r="K36" s="50">
        <v>0</v>
      </c>
      <c r="L36" s="51">
        <v>0</v>
      </c>
      <c r="M36" s="91">
        <v>0</v>
      </c>
      <c r="N36" s="157">
        <f t="shared" si="8"/>
        <v>0</v>
      </c>
      <c r="O36" s="51">
        <f t="shared" si="9"/>
        <v>0</v>
      </c>
    </row>
    <row r="37" spans="1:21" ht="15.75" outlineLevel="1" x14ac:dyDescent="0.25">
      <c r="A37" s="77" t="s">
        <v>5</v>
      </c>
      <c r="B37" s="160" t="s">
        <v>17</v>
      </c>
      <c r="C37" s="52">
        <v>0</v>
      </c>
      <c r="D37" s="53">
        <v>0</v>
      </c>
      <c r="E37" s="161">
        <v>0</v>
      </c>
      <c r="F37" s="53">
        <v>0</v>
      </c>
      <c r="G37" s="52">
        <v>0</v>
      </c>
      <c r="H37" s="162">
        <v>0</v>
      </c>
      <c r="I37" s="52">
        <v>0</v>
      </c>
      <c r="J37" s="162">
        <v>0</v>
      </c>
      <c r="K37" s="52">
        <v>0</v>
      </c>
      <c r="L37" s="53">
        <v>0</v>
      </c>
      <c r="M37" s="92">
        <v>0</v>
      </c>
      <c r="N37" s="192">
        <f t="shared" si="8"/>
        <v>0</v>
      </c>
      <c r="O37" s="72">
        <f t="shared" si="9"/>
        <v>0</v>
      </c>
      <c r="P37" s="5"/>
      <c r="Q37" s="5"/>
      <c r="R37" s="5"/>
      <c r="S37" s="5"/>
      <c r="T37" s="5"/>
      <c r="U37" s="5"/>
    </row>
    <row r="38" spans="1:21" ht="15.75" outlineLevel="1" x14ac:dyDescent="0.25">
      <c r="A38" s="77" t="s">
        <v>6</v>
      </c>
      <c r="B38" s="160" t="s">
        <v>18</v>
      </c>
      <c r="C38" s="52">
        <v>0</v>
      </c>
      <c r="D38" s="53">
        <v>0</v>
      </c>
      <c r="E38" s="161">
        <v>0</v>
      </c>
      <c r="F38" s="53">
        <v>0</v>
      </c>
      <c r="G38" s="52">
        <v>0</v>
      </c>
      <c r="H38" s="162">
        <v>0</v>
      </c>
      <c r="I38" s="52">
        <v>0</v>
      </c>
      <c r="J38" s="162">
        <v>0</v>
      </c>
      <c r="K38" s="52">
        <v>0</v>
      </c>
      <c r="L38" s="53">
        <v>0</v>
      </c>
      <c r="M38" s="92">
        <v>0</v>
      </c>
      <c r="N38" s="192">
        <f t="shared" si="8"/>
        <v>0</v>
      </c>
      <c r="O38" s="72">
        <f t="shared" si="9"/>
        <v>0</v>
      </c>
      <c r="P38" s="5"/>
      <c r="Q38" s="5"/>
      <c r="R38" s="5"/>
      <c r="S38" s="5"/>
      <c r="T38" s="5"/>
      <c r="U38" s="5"/>
    </row>
    <row r="39" spans="1:21" ht="17.25" customHeight="1" x14ac:dyDescent="0.25">
      <c r="A39" s="217" t="s">
        <v>23</v>
      </c>
      <c r="B39" s="130" t="s">
        <v>73</v>
      </c>
      <c r="C39" s="50">
        <v>11.62883811</v>
      </c>
      <c r="D39" s="51">
        <f>D43+D47+D51+D57</f>
        <v>9.9622937599999997</v>
      </c>
      <c r="E39" s="157">
        <v>2.82651261</v>
      </c>
      <c r="F39" s="51">
        <f>F43+F47+F51+F57</f>
        <v>4.7102816299999999</v>
      </c>
      <c r="G39" s="50">
        <v>2.7916405099999997</v>
      </c>
      <c r="H39" s="51">
        <f>H43+H47+H51+H57</f>
        <v>2.6732643499999997</v>
      </c>
      <c r="I39" s="50">
        <v>3.2336672100000001</v>
      </c>
      <c r="J39" s="158">
        <f>J43+J47+J51+J57</f>
        <v>5.1890688799999998</v>
      </c>
      <c r="K39" s="50">
        <v>4.3096500500000001</v>
      </c>
      <c r="L39" s="51">
        <f>L43+L47+L51+L57</f>
        <v>3.8326850700000001</v>
      </c>
      <c r="M39" s="91">
        <f>M43+M47+M51+M57</f>
        <v>5.8371769800000006</v>
      </c>
      <c r="N39" s="157">
        <f t="shared" si="8"/>
        <v>24.790308490000001</v>
      </c>
      <c r="O39" s="51">
        <f t="shared" si="9"/>
        <v>32.204770670000002</v>
      </c>
      <c r="P39" s="5"/>
      <c r="Q39" s="5"/>
    </row>
    <row r="40" spans="1:21" ht="15.75" x14ac:dyDescent="0.25">
      <c r="A40" s="218"/>
      <c r="B40" s="130" t="s">
        <v>74</v>
      </c>
      <c r="C40" s="50">
        <v>13.954605730000001</v>
      </c>
      <c r="D40" s="51">
        <f>ROUND(D39*1.2,8)</f>
        <v>11.95475251</v>
      </c>
      <c r="E40" s="157">
        <v>3.3918151299999999</v>
      </c>
      <c r="F40" s="51">
        <f>ROUND(F39*1.2,8)</f>
        <v>5.6523379599999997</v>
      </c>
      <c r="G40" s="50">
        <v>3.3499686099999999</v>
      </c>
      <c r="H40" s="51">
        <f>ROUND(H39*1.2,8)</f>
        <v>3.2079172200000001</v>
      </c>
      <c r="I40" s="50">
        <v>3.8804006499999999</v>
      </c>
      <c r="J40" s="158">
        <f>ROUND(J39*1.2,8)</f>
        <v>6.2268826600000002</v>
      </c>
      <c r="K40" s="50">
        <v>5.1715800600000001</v>
      </c>
      <c r="L40" s="51">
        <f>ROUND(L39*1.2,8)</f>
        <v>4.5992220799999997</v>
      </c>
      <c r="M40" s="91">
        <f>ROUND(M39*1.2,8)</f>
        <v>7.0046123800000002</v>
      </c>
      <c r="N40" s="157">
        <f t="shared" si="8"/>
        <v>29.748370180000002</v>
      </c>
      <c r="O40" s="51">
        <f t="shared" si="9"/>
        <v>38.645724809999997</v>
      </c>
      <c r="P40" s="5"/>
      <c r="Q40" s="5"/>
    </row>
    <row r="41" spans="1:21" s="7" customFormat="1" ht="15.75" x14ac:dyDescent="0.25">
      <c r="A41" s="68"/>
      <c r="B41" s="68" t="s">
        <v>35</v>
      </c>
      <c r="C41" s="54">
        <v>6611</v>
      </c>
      <c r="D41" s="55">
        <f>D12</f>
        <v>5788</v>
      </c>
      <c r="E41" s="164">
        <v>1496</v>
      </c>
      <c r="F41" s="55">
        <f>F12</f>
        <v>2261</v>
      </c>
      <c r="G41" s="54">
        <v>1082</v>
      </c>
      <c r="H41" s="55">
        <f>H12</f>
        <v>1036</v>
      </c>
      <c r="I41" s="54">
        <v>1244</v>
      </c>
      <c r="J41" s="165">
        <f>J12</f>
        <v>2382</v>
      </c>
      <c r="K41" s="54">
        <v>1872</v>
      </c>
      <c r="L41" s="55">
        <f>L12</f>
        <v>1842</v>
      </c>
      <c r="M41" s="93">
        <f>M12</f>
        <v>2634</v>
      </c>
      <c r="N41" s="164">
        <f t="shared" si="8"/>
        <v>12305</v>
      </c>
      <c r="O41" s="55">
        <f t="shared" si="9"/>
        <v>15943</v>
      </c>
      <c r="P41" s="12"/>
      <c r="Q41" s="12"/>
    </row>
    <row r="42" spans="1:21" s="7" customFormat="1" ht="15.75" x14ac:dyDescent="0.25">
      <c r="A42" s="68"/>
      <c r="B42" s="68" t="s">
        <v>38</v>
      </c>
      <c r="C42" s="47">
        <v>1.25873E-3</v>
      </c>
      <c r="D42" s="97">
        <f>ROUND((0.000146+0.00017+0.00119037*1.05)*$H$3,8)</f>
        <v>1.65828E-3</v>
      </c>
      <c r="E42" s="155">
        <v>1.3178899999999999E-3</v>
      </c>
      <c r="F42" s="36">
        <f>ROUND(D42*$I$3,8)</f>
        <v>1.74617E-3</v>
      </c>
      <c r="G42" s="47">
        <v>1.3798300000000001E-3</v>
      </c>
      <c r="H42" s="136">
        <f>ROUND(F42*$J$3,8)</f>
        <v>1.8299900000000001E-3</v>
      </c>
      <c r="I42" s="47">
        <v>1.4446800000000001E-3</v>
      </c>
      <c r="J42" s="136">
        <f>ROUND(H42*$K$3,8)</f>
        <v>1.9178299999999999E-3</v>
      </c>
      <c r="K42" s="35">
        <v>1.5125799999999999E-3</v>
      </c>
      <c r="L42" s="136">
        <f>ROUND(J42*$L$3,8)</f>
        <v>2.0098899999999999E-3</v>
      </c>
      <c r="M42" s="86">
        <f>ROUND(L42*$M$3,8)</f>
        <v>2.1063599999999998E-3</v>
      </c>
      <c r="N42" s="155"/>
      <c r="O42" s="48"/>
      <c r="P42" s="12"/>
      <c r="Q42" s="12"/>
    </row>
    <row r="43" spans="1:21" ht="51" customHeight="1" x14ac:dyDescent="0.25">
      <c r="A43" s="219" t="s">
        <v>24</v>
      </c>
      <c r="B43" s="138" t="s">
        <v>56</v>
      </c>
      <c r="C43" s="37">
        <v>8.3214640300000013</v>
      </c>
      <c r="D43" s="38">
        <f>ROUND(D42*D41,8)</f>
        <v>9.59812464</v>
      </c>
      <c r="E43" s="139">
        <v>1.9715634399999999</v>
      </c>
      <c r="F43" s="38">
        <f>ROUND(F42*F41,8)</f>
        <v>3.9480903700000001</v>
      </c>
      <c r="G43" s="37">
        <v>1.4929760599999999</v>
      </c>
      <c r="H43" s="38">
        <f>ROUND(H42*H41,8)</f>
        <v>1.8958696399999999</v>
      </c>
      <c r="I43" s="37">
        <v>1.7971819200000001</v>
      </c>
      <c r="J43" s="140">
        <f>ROUND(J42*J41,8)</f>
        <v>4.5682710599999998</v>
      </c>
      <c r="K43" s="37">
        <v>2.8315497600000001</v>
      </c>
      <c r="L43" s="38">
        <f>ROUND(L42*L41,8)</f>
        <v>3.70221738</v>
      </c>
      <c r="M43" s="87">
        <f>ROUND(M42*M41,8)</f>
        <v>5.5481522400000003</v>
      </c>
      <c r="N43" s="139">
        <f t="shared" ref="N43:N45" si="10">C43+E43+G43+I43+K43</f>
        <v>16.414735210000003</v>
      </c>
      <c r="O43" s="38">
        <f t="shared" ref="O43:O45" si="11">D43+F43+H43+J43+L43+M43</f>
        <v>29.260725330000003</v>
      </c>
    </row>
    <row r="44" spans="1:21" ht="53.25" customHeight="1" x14ac:dyDescent="0.25">
      <c r="A44" s="220"/>
      <c r="B44" s="142" t="s">
        <v>57</v>
      </c>
      <c r="C44" s="56">
        <v>9.9857568400000005</v>
      </c>
      <c r="D44" s="40">
        <f>ROUND(D43*1.2,8)</f>
        <v>11.517749569999999</v>
      </c>
      <c r="E44" s="156">
        <v>2.3658761300000002</v>
      </c>
      <c r="F44" s="40">
        <f>ROUND(F43*1.2,8)</f>
        <v>4.7377084399999996</v>
      </c>
      <c r="G44" s="56">
        <v>1.7915712699999999</v>
      </c>
      <c r="H44" s="40">
        <f>ROUND(H43*1.2,8)</f>
        <v>2.2750435699999998</v>
      </c>
      <c r="I44" s="56">
        <v>2.1566182999999999</v>
      </c>
      <c r="J44" s="144">
        <f>ROUND(J43*1.2,8)</f>
        <v>5.4819252699999996</v>
      </c>
      <c r="K44" s="39">
        <v>3.3978597100000001</v>
      </c>
      <c r="L44" s="40">
        <f>ROUND(L43*1.2,8)</f>
        <v>4.4426608600000002</v>
      </c>
      <c r="M44" s="88">
        <f>ROUND(M43*1.2,8)</f>
        <v>6.6577826900000003</v>
      </c>
      <c r="N44" s="156">
        <f t="shared" si="10"/>
        <v>19.69768225</v>
      </c>
      <c r="O44" s="49">
        <f t="shared" si="11"/>
        <v>35.112870399999998</v>
      </c>
    </row>
    <row r="45" spans="1:21" s="7" customFormat="1" ht="15.75" x14ac:dyDescent="0.25">
      <c r="A45" s="68"/>
      <c r="B45" s="68" t="s">
        <v>35</v>
      </c>
      <c r="C45" s="54">
        <v>205</v>
      </c>
      <c r="D45" s="55">
        <f>D16</f>
        <v>125</v>
      </c>
      <c r="E45" s="164">
        <v>47</v>
      </c>
      <c r="F45" s="55">
        <f>F16</f>
        <v>296</v>
      </c>
      <c r="G45" s="54">
        <v>36</v>
      </c>
      <c r="H45" s="55">
        <f>H16</f>
        <v>72</v>
      </c>
      <c r="I45" s="54">
        <v>37</v>
      </c>
      <c r="J45" s="165">
        <f>J16</f>
        <v>57</v>
      </c>
      <c r="K45" s="54">
        <v>37</v>
      </c>
      <c r="L45" s="55">
        <f>L16</f>
        <v>30</v>
      </c>
      <c r="M45" s="93">
        <f>M16</f>
        <v>114</v>
      </c>
      <c r="N45" s="164">
        <f t="shared" si="10"/>
        <v>362</v>
      </c>
      <c r="O45" s="55">
        <f t="shared" si="11"/>
        <v>694</v>
      </c>
    </row>
    <row r="46" spans="1:21" s="7" customFormat="1" ht="15.75" x14ac:dyDescent="0.25">
      <c r="A46" s="68"/>
      <c r="B46" s="68" t="s">
        <v>38</v>
      </c>
      <c r="C46" s="47">
        <v>2.0754300000000001E-3</v>
      </c>
      <c r="D46" s="97">
        <f>ROUND((0.000304+0.00017+0.00119037*1.05)*$H$3,8)</f>
        <v>1.8255999999999999E-3</v>
      </c>
      <c r="E46" s="155">
        <v>2.1729800000000001E-3</v>
      </c>
      <c r="F46" s="36">
        <f>ROUND(D46*$I$3,8)</f>
        <v>1.9223599999999999E-3</v>
      </c>
      <c r="G46" s="47">
        <v>2.2751099999999999E-3</v>
      </c>
      <c r="H46" s="136">
        <f>ROUND(F46*$J$3,8)</f>
        <v>2.0146299999999999E-3</v>
      </c>
      <c r="I46" s="47">
        <v>2.3820400000000002E-3</v>
      </c>
      <c r="J46" s="136">
        <f>ROUND(H46*$K$3,8)</f>
        <v>2.1113299999999998E-3</v>
      </c>
      <c r="K46" s="35">
        <v>2.4940000000000001E-3</v>
      </c>
      <c r="L46" s="136">
        <f>ROUND(J46*$L$3,8)</f>
        <v>2.2126699999999999E-3</v>
      </c>
      <c r="M46" s="86">
        <f>ROUND(L46*$M$3,8)</f>
        <v>2.3188800000000002E-3</v>
      </c>
      <c r="N46" s="155"/>
      <c r="O46" s="48"/>
    </row>
    <row r="47" spans="1:21" ht="47.25" x14ac:dyDescent="0.25">
      <c r="A47" s="219" t="s">
        <v>25</v>
      </c>
      <c r="B47" s="138" t="s">
        <v>58</v>
      </c>
      <c r="C47" s="37">
        <v>0.42546315000000001</v>
      </c>
      <c r="D47" s="38">
        <f>ROUND(D46*D45,8)</f>
        <v>0.22819999999999999</v>
      </c>
      <c r="E47" s="139">
        <v>0.10213005999999999</v>
      </c>
      <c r="F47" s="38">
        <f>ROUND(F46*F45,8)</f>
        <v>0.56901855999999995</v>
      </c>
      <c r="G47" s="37">
        <v>8.1903959999999998E-2</v>
      </c>
      <c r="H47" s="38">
        <f>ROUND(H46*H45,8)</f>
        <v>0.14505335999999999</v>
      </c>
      <c r="I47" s="37">
        <v>8.8135480000000002E-2</v>
      </c>
      <c r="J47" s="140">
        <f>ROUND(J46*J45,8)</f>
        <v>0.12034581</v>
      </c>
      <c r="K47" s="37">
        <v>9.2277999999999999E-2</v>
      </c>
      <c r="L47" s="38">
        <f>ROUND(L46*L45,8)</f>
        <v>6.6380099999999997E-2</v>
      </c>
      <c r="M47" s="87">
        <f>ROUND(M46*M45,8)</f>
        <v>0.26435231999999997</v>
      </c>
      <c r="N47" s="139">
        <f t="shared" ref="N47:N49" si="12">C47+E47+G47+I47+K47</f>
        <v>0.78991065000000005</v>
      </c>
      <c r="O47" s="38">
        <f t="shared" ref="O47:O49" si="13">D47+F47+H47+J47+L47+M47</f>
        <v>1.3933501499999998</v>
      </c>
    </row>
    <row r="48" spans="1:21" ht="51" customHeight="1" x14ac:dyDescent="0.25">
      <c r="A48" s="220"/>
      <c r="B48" s="142" t="s">
        <v>59</v>
      </c>
      <c r="C48" s="56">
        <v>0.51055578000000001</v>
      </c>
      <c r="D48" s="40">
        <f>ROUND(D47*1.2,8)</f>
        <v>0.27383999999999997</v>
      </c>
      <c r="E48" s="156">
        <v>0.12255607</v>
      </c>
      <c r="F48" s="40">
        <f>ROUND(F47*1.2,8)</f>
        <v>0.68282226999999995</v>
      </c>
      <c r="G48" s="56">
        <v>9.8284750000000004E-2</v>
      </c>
      <c r="H48" s="40">
        <f>ROUND(H47*1.2,8)</f>
        <v>0.17406403000000001</v>
      </c>
      <c r="I48" s="56">
        <v>0.10576257999999999</v>
      </c>
      <c r="J48" s="144">
        <f>ROUND(J47*1.2,8)</f>
        <v>0.14441497</v>
      </c>
      <c r="K48" s="39">
        <v>0.1107336</v>
      </c>
      <c r="L48" s="40">
        <f>ROUND(L47*1.2,8)</f>
        <v>7.9656119999999997E-2</v>
      </c>
      <c r="M48" s="88">
        <f>ROUND(M47*1.2,8)</f>
        <v>0.31722277999999998</v>
      </c>
      <c r="N48" s="156">
        <f t="shared" si="12"/>
        <v>0.94789277999999999</v>
      </c>
      <c r="O48" s="49">
        <f t="shared" si="13"/>
        <v>1.6720201699999999</v>
      </c>
    </row>
    <row r="49" spans="1:28" ht="15.75" x14ac:dyDescent="0.25">
      <c r="A49" s="68"/>
      <c r="B49" s="68" t="s">
        <v>35</v>
      </c>
      <c r="C49" s="43">
        <v>154</v>
      </c>
      <c r="D49" s="55">
        <f>D27</f>
        <v>126</v>
      </c>
      <c r="E49" s="150">
        <v>175</v>
      </c>
      <c r="F49" s="55">
        <f>F27</f>
        <v>170</v>
      </c>
      <c r="G49" s="43">
        <v>521</v>
      </c>
      <c r="H49" s="55">
        <f>H27</f>
        <v>531</v>
      </c>
      <c r="I49" s="43">
        <v>401</v>
      </c>
      <c r="J49" s="165">
        <f>J27</f>
        <v>401</v>
      </c>
      <c r="K49" s="54">
        <v>453</v>
      </c>
      <c r="L49" s="55">
        <f>L27</f>
        <v>49</v>
      </c>
      <c r="M49" s="93">
        <f>M27</f>
        <v>18</v>
      </c>
      <c r="N49" s="150">
        <f t="shared" si="12"/>
        <v>1704</v>
      </c>
      <c r="O49" s="55">
        <f t="shared" si="13"/>
        <v>1295</v>
      </c>
    </row>
    <row r="50" spans="1:28" ht="15.75" x14ac:dyDescent="0.25">
      <c r="A50" s="68"/>
      <c r="B50" s="68" t="s">
        <v>38</v>
      </c>
      <c r="C50" s="47">
        <v>1.1299000000000001E-3</v>
      </c>
      <c r="D50" s="97">
        <f>ROUND(0.001019*$H$3,8)</f>
        <v>1.07912E-3</v>
      </c>
      <c r="E50" s="155">
        <v>1.18301E-3</v>
      </c>
      <c r="F50" s="36">
        <f>ROUND(D50*$I$3,8)</f>
        <v>1.13631E-3</v>
      </c>
      <c r="G50" s="47">
        <v>1.23861E-3</v>
      </c>
      <c r="H50" s="136">
        <f>ROUND(F50*$J$3,8)</f>
        <v>1.19085E-3</v>
      </c>
      <c r="I50" s="47">
        <v>1.29682E-3</v>
      </c>
      <c r="J50" s="136">
        <f>ROUND(H50*$K$3,8)</f>
        <v>1.2480099999999999E-3</v>
      </c>
      <c r="K50" s="35">
        <v>1.3577699999999999E-3</v>
      </c>
      <c r="L50" s="136">
        <f>ROUND(J50*$L$3,8)</f>
        <v>1.30791E-3</v>
      </c>
      <c r="M50" s="86">
        <f>ROUND(L50*$M$3,8)</f>
        <v>1.3706899999999999E-3</v>
      </c>
      <c r="N50" s="155"/>
      <c r="O50" s="48"/>
    </row>
    <row r="51" spans="1:28" ht="47.25" x14ac:dyDescent="0.25">
      <c r="A51" s="221" t="s">
        <v>26</v>
      </c>
      <c r="B51" s="138" t="s">
        <v>60</v>
      </c>
      <c r="C51" s="37">
        <v>0.17400460000000001</v>
      </c>
      <c r="D51" s="38">
        <f>ROUND(D50*D49,8)</f>
        <v>0.13596912</v>
      </c>
      <c r="E51" s="139">
        <v>0.20702675000000001</v>
      </c>
      <c r="F51" s="38">
        <f>ROUND(F50*F49,8)</f>
        <v>0.1931727</v>
      </c>
      <c r="G51" s="37">
        <v>0.64531581000000005</v>
      </c>
      <c r="H51" s="38">
        <f>ROUND(H50*H49,8)</f>
        <v>0.63234135000000002</v>
      </c>
      <c r="I51" s="37">
        <v>0.52002482000000005</v>
      </c>
      <c r="J51" s="140">
        <f>ROUND(J50*J49,8)</f>
        <v>0.50045200999999995</v>
      </c>
      <c r="K51" s="37">
        <v>0.61506981000000005</v>
      </c>
      <c r="L51" s="38">
        <f>ROUND(L50*L49,8)</f>
        <v>6.408759E-2</v>
      </c>
      <c r="M51" s="87">
        <f>ROUND(M50*M49,8)</f>
        <v>2.467242E-2</v>
      </c>
      <c r="N51" s="139">
        <f t="shared" ref="N51:N53" si="14">C51+E51+G51+I51+K51</f>
        <v>2.16144179</v>
      </c>
      <c r="O51" s="38">
        <f t="shared" ref="O51:O53" si="15">D51+F51+H51+J51+L51+M51</f>
        <v>1.5506951899999999</v>
      </c>
    </row>
    <row r="52" spans="1:28" ht="57" customHeight="1" x14ac:dyDescent="0.25">
      <c r="A52" s="222"/>
      <c r="B52" s="142" t="s">
        <v>61</v>
      </c>
      <c r="C52" s="56">
        <v>0.20880551999999999</v>
      </c>
      <c r="D52" s="40">
        <f>ROUND(D51*1.2,8)</f>
        <v>0.16316294000000001</v>
      </c>
      <c r="E52" s="156">
        <v>0.24843209999999999</v>
      </c>
      <c r="F52" s="40">
        <f>ROUND(F51*1.2,8)</f>
        <v>0.23180724</v>
      </c>
      <c r="G52" s="56">
        <v>0.77437897</v>
      </c>
      <c r="H52" s="40">
        <f>ROUND(H51*1.2,8)</f>
        <v>0.75880961999999996</v>
      </c>
      <c r="I52" s="56">
        <v>0.62402977999999998</v>
      </c>
      <c r="J52" s="144">
        <f>ROUND(J51*1.2,8)</f>
        <v>0.60054240999999997</v>
      </c>
      <c r="K52" s="39">
        <v>0.73808377000000003</v>
      </c>
      <c r="L52" s="40">
        <f>ROUND(L51*1.2,8)</f>
        <v>7.6905109999999999E-2</v>
      </c>
      <c r="M52" s="88">
        <f>ROUND(M51*1.2,8)</f>
        <v>2.9606899999999998E-2</v>
      </c>
      <c r="N52" s="156">
        <f t="shared" si="14"/>
        <v>2.5937301399999999</v>
      </c>
      <c r="O52" s="49">
        <f t="shared" si="15"/>
        <v>1.8608342199999999</v>
      </c>
    </row>
    <row r="53" spans="1:28" s="7" customFormat="1" ht="15.75" x14ac:dyDescent="0.25">
      <c r="A53" s="68"/>
      <c r="B53" s="68" t="s">
        <v>35</v>
      </c>
      <c r="C53" s="54">
        <v>128</v>
      </c>
      <c r="D53" s="55">
        <f>D31-D55</f>
        <v>0</v>
      </c>
      <c r="E53" s="164">
        <v>24</v>
      </c>
      <c r="F53" s="167">
        <f>F31-F55</f>
        <v>0</v>
      </c>
      <c r="G53" s="54">
        <v>24</v>
      </c>
      <c r="H53" s="167">
        <f>H31-H55</f>
        <v>0</v>
      </c>
      <c r="I53" s="54">
        <v>33</v>
      </c>
      <c r="J53" s="165">
        <f>J31-J55</f>
        <v>0</v>
      </c>
      <c r="K53" s="54">
        <v>29</v>
      </c>
      <c r="L53" s="55">
        <f>L31-L55</f>
        <v>0</v>
      </c>
      <c r="M53" s="93">
        <f>M31-M55</f>
        <v>0</v>
      </c>
      <c r="N53" s="164">
        <f t="shared" si="14"/>
        <v>238</v>
      </c>
      <c r="O53" s="55">
        <f t="shared" si="15"/>
        <v>0</v>
      </c>
    </row>
    <row r="54" spans="1:28" s="7" customFormat="1" ht="15.75" x14ac:dyDescent="0.25">
      <c r="A54" s="68"/>
      <c r="B54" s="68" t="s">
        <v>75</v>
      </c>
      <c r="C54" s="47">
        <v>2.007695E-2</v>
      </c>
      <c r="D54" s="97">
        <f>ROUND(0.007603*$H$3,8)</f>
        <v>8.0515799999999992E-3</v>
      </c>
      <c r="E54" s="155">
        <v>2.1020569999999999E-2</v>
      </c>
      <c r="F54" s="36">
        <f>ROUND(D54*$I$3,8)</f>
        <v>8.4783099999999993E-3</v>
      </c>
      <c r="G54" s="47">
        <v>2.200854E-2</v>
      </c>
      <c r="H54" s="136">
        <f>ROUND(F54*$J$3,8)</f>
        <v>8.8852700000000007E-3</v>
      </c>
      <c r="I54" s="47">
        <v>2.3042940000000001E-2</v>
      </c>
      <c r="J54" s="136">
        <f>ROUND(H54*$K$3,8)</f>
        <v>9.3117600000000005E-3</v>
      </c>
      <c r="K54" s="35">
        <v>2.4125959999999998E-2</v>
      </c>
      <c r="L54" s="136">
        <f>ROUND(J54*$L$3,8)</f>
        <v>9.7587200000000002E-3</v>
      </c>
      <c r="M54" s="86">
        <f>ROUND(L54*$M$3,8)</f>
        <v>1.0227139999999999E-2</v>
      </c>
      <c r="N54" s="155"/>
      <c r="O54" s="48"/>
    </row>
    <row r="55" spans="1:28" s="7" customFormat="1" ht="15.75" x14ac:dyDescent="0.25">
      <c r="A55" s="78"/>
      <c r="B55" s="68" t="s">
        <v>35</v>
      </c>
      <c r="C55" s="70">
        <v>7</v>
      </c>
      <c r="D55" s="61">
        <v>0</v>
      </c>
      <c r="E55" s="168">
        <v>2</v>
      </c>
      <c r="F55" s="61">
        <v>0</v>
      </c>
      <c r="G55" s="70">
        <v>2</v>
      </c>
      <c r="H55" s="169">
        <v>0</v>
      </c>
      <c r="I55" s="70">
        <v>3</v>
      </c>
      <c r="J55" s="169">
        <v>0</v>
      </c>
      <c r="K55" s="70">
        <v>3</v>
      </c>
      <c r="L55" s="61">
        <v>0</v>
      </c>
      <c r="M55" s="94">
        <v>0</v>
      </c>
      <c r="N55" s="168">
        <f>C55+E55+G55+I55+K55</f>
        <v>17</v>
      </c>
      <c r="O55" s="61">
        <f>D55+F55+H55+J55+L55+M55</f>
        <v>0</v>
      </c>
    </row>
    <row r="56" spans="1:28" s="7" customFormat="1" ht="31.5" x14ac:dyDescent="0.25">
      <c r="A56" s="78"/>
      <c r="B56" s="68" t="s">
        <v>76</v>
      </c>
      <c r="C56" s="47">
        <v>1.9722389999999999E-2</v>
      </c>
      <c r="D56" s="36">
        <v>0</v>
      </c>
      <c r="E56" s="155">
        <v>2.0649339999999999E-2</v>
      </c>
      <c r="F56" s="36">
        <f>ROUND(D56*$I$3,8)</f>
        <v>0</v>
      </c>
      <c r="G56" s="47">
        <v>2.1619860000000001E-2</v>
      </c>
      <c r="H56" s="136">
        <f>ROUND(F56*$J$3,8)</f>
        <v>0</v>
      </c>
      <c r="I56" s="80">
        <v>2.2635990000000002E-2</v>
      </c>
      <c r="J56" s="136">
        <f>ROUND(H56*$K$3,8)</f>
        <v>0</v>
      </c>
      <c r="K56" s="35">
        <v>2.369988E-2</v>
      </c>
      <c r="L56" s="136">
        <f>ROUND(J56*$L$3,8)</f>
        <v>0</v>
      </c>
      <c r="M56" s="86">
        <f>ROUND(L56*$M$3,8)</f>
        <v>0</v>
      </c>
      <c r="N56" s="155"/>
      <c r="O56" s="48"/>
    </row>
    <row r="57" spans="1:28" ht="47.25" x14ac:dyDescent="0.25">
      <c r="A57" s="219" t="s">
        <v>16</v>
      </c>
      <c r="B57" s="138" t="s">
        <v>63</v>
      </c>
      <c r="C57" s="37">
        <v>2.7079063300000001</v>
      </c>
      <c r="D57" s="38">
        <f>ROUND((D54*D53)+(D55*D56),8)</f>
        <v>0</v>
      </c>
      <c r="E57" s="139">
        <v>0.54579235999999998</v>
      </c>
      <c r="F57" s="171">
        <f>ROUND((F54*F53)+(F55*F56),8)</f>
        <v>0</v>
      </c>
      <c r="G57" s="37">
        <v>0.57144468000000004</v>
      </c>
      <c r="H57" s="171">
        <f>ROUND((H54*H53)+(H55*H56),8)</f>
        <v>0</v>
      </c>
      <c r="I57" s="37">
        <v>0.82832499000000004</v>
      </c>
      <c r="J57" s="140">
        <f>ROUND((J54*J53)+(J55*J56),8)</f>
        <v>0</v>
      </c>
      <c r="K57" s="37">
        <v>0.77075247999999996</v>
      </c>
      <c r="L57" s="38">
        <f>ROUND((L54*L53)+(L55*L56),8)</f>
        <v>0</v>
      </c>
      <c r="M57" s="87">
        <f>ROUND((M54*M53)+(M55*M56),8)</f>
        <v>0</v>
      </c>
      <c r="N57" s="139">
        <f t="shared" ref="N57:N64" si="16">C57+E57+G57+I57+K57</f>
        <v>5.4242208399999994</v>
      </c>
      <c r="O57" s="38">
        <f t="shared" ref="O57:O64" si="17">D57+F57+H57+J57+L57+M57</f>
        <v>0</v>
      </c>
    </row>
    <row r="58" spans="1:28" ht="63.75" customHeight="1" x14ac:dyDescent="0.25">
      <c r="A58" s="220"/>
      <c r="B58" s="142" t="s">
        <v>64</v>
      </c>
      <c r="C58" s="56">
        <v>3.2494875999999997</v>
      </c>
      <c r="D58" s="40">
        <f>ROUND(D57*1.2,8)</f>
        <v>0</v>
      </c>
      <c r="E58" s="156">
        <v>0.65495082999999998</v>
      </c>
      <c r="F58" s="40">
        <f>ROUND(F57*1.2,8)</f>
        <v>0</v>
      </c>
      <c r="G58" s="56">
        <v>0.68573362000000004</v>
      </c>
      <c r="H58" s="40">
        <f>ROUND(H57*1.2,8)</f>
        <v>0</v>
      </c>
      <c r="I58" s="56">
        <v>0.99398998999999999</v>
      </c>
      <c r="J58" s="144">
        <f>ROUND(J57*1.2,8)</f>
        <v>0</v>
      </c>
      <c r="K58" s="39">
        <v>0.92490298000000004</v>
      </c>
      <c r="L58" s="40">
        <f>ROUND(L57*1.2,8)</f>
        <v>0</v>
      </c>
      <c r="M58" s="88">
        <f>ROUND(M57*1.2,8)</f>
        <v>0</v>
      </c>
      <c r="N58" s="156">
        <f t="shared" si="16"/>
        <v>6.5090650199999995</v>
      </c>
      <c r="O58" s="49">
        <f t="shared" si="17"/>
        <v>0</v>
      </c>
    </row>
    <row r="59" spans="1:28" ht="48.75" customHeight="1" x14ac:dyDescent="0.25">
      <c r="A59" s="77" t="s">
        <v>39</v>
      </c>
      <c r="B59" s="172" t="s">
        <v>65</v>
      </c>
      <c r="C59" s="52">
        <v>0</v>
      </c>
      <c r="D59" s="53">
        <v>0</v>
      </c>
      <c r="E59" s="161">
        <v>0</v>
      </c>
      <c r="F59" s="53">
        <v>0</v>
      </c>
      <c r="G59" s="52">
        <v>0</v>
      </c>
      <c r="H59" s="162">
        <v>0</v>
      </c>
      <c r="I59" s="52">
        <v>0</v>
      </c>
      <c r="J59" s="162">
        <v>0</v>
      </c>
      <c r="K59" s="52">
        <v>0</v>
      </c>
      <c r="L59" s="53">
        <v>0</v>
      </c>
      <c r="M59" s="92">
        <v>0</v>
      </c>
      <c r="N59" s="192">
        <f t="shared" si="16"/>
        <v>0</v>
      </c>
      <c r="O59" s="72">
        <f t="shared" si="17"/>
        <v>0</v>
      </c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50.25" customHeight="1" x14ac:dyDescent="0.25">
      <c r="A60" s="69"/>
      <c r="B60" s="172" t="s">
        <v>66</v>
      </c>
      <c r="C60" s="52">
        <v>0</v>
      </c>
      <c r="D60" s="53">
        <v>0</v>
      </c>
      <c r="E60" s="161">
        <v>0</v>
      </c>
      <c r="F60" s="53">
        <v>0</v>
      </c>
      <c r="G60" s="52">
        <v>0</v>
      </c>
      <c r="H60" s="162">
        <v>0</v>
      </c>
      <c r="I60" s="52">
        <v>0</v>
      </c>
      <c r="J60" s="162">
        <v>0</v>
      </c>
      <c r="K60" s="52">
        <v>0</v>
      </c>
      <c r="L60" s="53">
        <v>0</v>
      </c>
      <c r="M60" s="92">
        <v>0</v>
      </c>
      <c r="N60" s="161">
        <f t="shared" si="16"/>
        <v>0</v>
      </c>
      <c r="O60" s="53">
        <f t="shared" si="17"/>
        <v>0</v>
      </c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5.75" x14ac:dyDescent="0.25">
      <c r="A61" s="79" t="s">
        <v>30</v>
      </c>
      <c r="B61" s="173" t="s">
        <v>27</v>
      </c>
      <c r="C61" s="57">
        <v>71.258984699999999</v>
      </c>
      <c r="D61" s="58">
        <f>D14+D25+D29+D33</f>
        <v>72.915309489999999</v>
      </c>
      <c r="E61" s="174">
        <v>16.639724529999999</v>
      </c>
      <c r="F61" s="58">
        <f>F14+F25+F29+F33</f>
        <v>35.621276269999996</v>
      </c>
      <c r="G61" s="57">
        <v>14.188464680000003</v>
      </c>
      <c r="H61" s="58">
        <f>H14+H25+H29+H33</f>
        <v>16.438991210000001</v>
      </c>
      <c r="I61" s="57">
        <v>17.34989036</v>
      </c>
      <c r="J61" s="175">
        <f>J14+J25+J29+J33</f>
        <v>35.451677380000007</v>
      </c>
      <c r="K61" s="57">
        <v>23.861245540000002</v>
      </c>
      <c r="L61" s="58">
        <f>L14+L25+L29+L33</f>
        <v>27.879026410000002</v>
      </c>
      <c r="M61" s="95">
        <f>M14+M25+M29+M33</f>
        <v>43.517384640000003</v>
      </c>
      <c r="N61" s="174">
        <f t="shared" si="16"/>
        <v>143.29830981000001</v>
      </c>
      <c r="O61" s="58">
        <f t="shared" si="17"/>
        <v>231.82366539999998</v>
      </c>
    </row>
    <row r="62" spans="1:28" ht="31.5" x14ac:dyDescent="0.25">
      <c r="A62" s="79" t="s">
        <v>31</v>
      </c>
      <c r="B62" s="173" t="s">
        <v>28</v>
      </c>
      <c r="C62" s="59">
        <v>11.62883811</v>
      </c>
      <c r="D62" s="60">
        <f>D43+D47+D51+D57</f>
        <v>9.9622937599999997</v>
      </c>
      <c r="E62" s="177">
        <v>2.82651261</v>
      </c>
      <c r="F62" s="60">
        <f>F43+F47+F51+F57</f>
        <v>4.7102816299999999</v>
      </c>
      <c r="G62" s="59">
        <v>2.7916405099999997</v>
      </c>
      <c r="H62" s="60">
        <f>H43+H47+H51+H57</f>
        <v>2.6732643499999997</v>
      </c>
      <c r="I62" s="59">
        <v>3.2336672100000001</v>
      </c>
      <c r="J62" s="178">
        <f>J43+J47+J51+J57</f>
        <v>5.1890688799999998</v>
      </c>
      <c r="K62" s="59">
        <v>4.3096500500000001</v>
      </c>
      <c r="L62" s="60">
        <f>L43+L47+L51+L57</f>
        <v>3.8326850700000001</v>
      </c>
      <c r="M62" s="96">
        <f>M43+M47+M51+M57</f>
        <v>5.8371769800000006</v>
      </c>
      <c r="N62" s="177">
        <f t="shared" si="16"/>
        <v>24.790308490000001</v>
      </c>
      <c r="O62" s="60">
        <f t="shared" si="17"/>
        <v>32.204770670000002</v>
      </c>
      <c r="P62" s="5"/>
      <c r="Q62" s="5"/>
    </row>
    <row r="63" spans="1:28" ht="20.25" x14ac:dyDescent="0.25">
      <c r="A63" s="223" t="s">
        <v>32</v>
      </c>
      <c r="B63" s="180" t="s">
        <v>29</v>
      </c>
      <c r="C63" s="113">
        <v>82.887822810000003</v>
      </c>
      <c r="D63" s="114">
        <f>D61+D62</f>
        <v>82.877603249999993</v>
      </c>
      <c r="E63" s="181">
        <v>19.466237139999997</v>
      </c>
      <c r="F63" s="114">
        <f>F61+F62</f>
        <v>40.331557899999993</v>
      </c>
      <c r="G63" s="113">
        <v>16.980105190000003</v>
      </c>
      <c r="H63" s="114">
        <f>H61+H62</f>
        <v>19.112255560000001</v>
      </c>
      <c r="I63" s="113">
        <v>20.58355757</v>
      </c>
      <c r="J63" s="182">
        <f>J61+J62</f>
        <v>40.640746260000007</v>
      </c>
      <c r="K63" s="113">
        <v>28.170895590000001</v>
      </c>
      <c r="L63" s="114">
        <f>L61+L62</f>
        <v>31.711711480000002</v>
      </c>
      <c r="M63" s="115">
        <f>M61+M62</f>
        <v>49.354561620000005</v>
      </c>
      <c r="N63" s="181">
        <f t="shared" si="16"/>
        <v>168.08861830000001</v>
      </c>
      <c r="O63" s="114">
        <f t="shared" si="17"/>
        <v>264.02843607</v>
      </c>
      <c r="P63" s="5"/>
      <c r="Q63" s="5"/>
    </row>
    <row r="64" spans="1:28" ht="21" thickBot="1" x14ac:dyDescent="0.3">
      <c r="A64" s="224"/>
      <c r="B64" s="184" t="s">
        <v>42</v>
      </c>
      <c r="C64" s="117">
        <v>99.465387370000002</v>
      </c>
      <c r="D64" s="118">
        <f>ROUND(D63*1.2,8)</f>
        <v>99.453123899999994</v>
      </c>
      <c r="E64" s="185">
        <v>23.359484569999999</v>
      </c>
      <c r="F64" s="118">
        <f>ROUND(F63*1.2,8)</f>
        <v>48.397869479999997</v>
      </c>
      <c r="G64" s="117">
        <v>20.376126230000001</v>
      </c>
      <c r="H64" s="118">
        <f>ROUND(H63*1.2,8)</f>
        <v>22.934706670000001</v>
      </c>
      <c r="I64" s="117">
        <v>24.700269080000002</v>
      </c>
      <c r="J64" s="186">
        <f>ROUND(J63*1.2,8)</f>
        <v>48.76889551</v>
      </c>
      <c r="K64" s="117">
        <v>33.80507471</v>
      </c>
      <c r="L64" s="118">
        <f>ROUND(L63*1.2,8)</f>
        <v>38.054053779999997</v>
      </c>
      <c r="M64" s="119">
        <f>ROUND(M63*1.2,8)</f>
        <v>59.225473940000001</v>
      </c>
      <c r="N64" s="185">
        <f t="shared" si="16"/>
        <v>201.70634196000003</v>
      </c>
      <c r="O64" s="118">
        <f t="shared" si="17"/>
        <v>316.83412327999997</v>
      </c>
      <c r="P64" s="5"/>
      <c r="Q64" s="5"/>
    </row>
    <row r="65" spans="1:17" s="7" customFormat="1" ht="18.75" x14ac:dyDescent="0.25">
      <c r="A65" s="22"/>
      <c r="B65" s="23"/>
      <c r="C65" s="24"/>
      <c r="D65" s="24"/>
      <c r="E65" s="24"/>
      <c r="F65" s="24"/>
      <c r="G65" s="24"/>
      <c r="H65" s="25"/>
      <c r="I65" s="25"/>
      <c r="J65" s="25"/>
      <c r="K65" s="25"/>
      <c r="L65" s="25"/>
      <c r="M65" s="25"/>
      <c r="N65" s="26"/>
      <c r="O65" s="26"/>
      <c r="P65" s="12"/>
      <c r="Q65" s="12"/>
    </row>
    <row r="66" spans="1:17" s="7" customFormat="1" ht="18.75" x14ac:dyDescent="0.25">
      <c r="A66" s="22"/>
      <c r="B66" s="23"/>
      <c r="C66" s="24"/>
      <c r="D66" s="24"/>
      <c r="E66" s="24"/>
      <c r="F66" s="24"/>
      <c r="G66" s="24"/>
      <c r="H66" s="25"/>
      <c r="I66" s="25"/>
      <c r="J66" s="25"/>
      <c r="K66" s="25"/>
      <c r="L66" s="25"/>
      <c r="M66" s="25"/>
      <c r="N66" s="26"/>
      <c r="O66" s="26"/>
      <c r="P66" s="12"/>
      <c r="Q66" s="12"/>
    </row>
    <row r="67" spans="1:17" ht="44.25" customHeight="1" x14ac:dyDescent="0.35">
      <c r="A67" s="15"/>
      <c r="C67" s="16"/>
      <c r="D67" s="18" t="s">
        <v>81</v>
      </c>
      <c r="E67" s="16"/>
      <c r="F67" s="16"/>
      <c r="G67" s="16"/>
      <c r="I67" s="18"/>
      <c r="J67" s="18"/>
      <c r="K67" s="18" t="s">
        <v>33</v>
      </c>
      <c r="L67" s="18"/>
      <c r="M67" s="18"/>
      <c r="N67" s="17"/>
      <c r="O67" s="26"/>
      <c r="P67" s="5"/>
      <c r="Q67" s="5"/>
    </row>
    <row r="68" spans="1:17" ht="23.25" x14ac:dyDescent="0.35">
      <c r="A68" s="14"/>
      <c r="B68" s="13"/>
      <c r="C68" s="19"/>
      <c r="D68" s="20"/>
      <c r="E68" s="19"/>
      <c r="F68" s="20"/>
      <c r="G68" s="20"/>
      <c r="H68" s="20"/>
      <c r="I68" s="20"/>
      <c r="J68" s="20"/>
      <c r="K68" s="20"/>
      <c r="L68" s="20"/>
      <c r="M68" s="20"/>
      <c r="N68" s="19"/>
      <c r="O68" s="193"/>
      <c r="P68" s="5"/>
      <c r="Q68" s="5"/>
    </row>
  </sheetData>
  <mergeCells count="24">
    <mergeCell ref="A57:A58"/>
    <mergeCell ref="A63:A64"/>
    <mergeCell ref="A33:A34"/>
    <mergeCell ref="A35:A36"/>
    <mergeCell ref="A39:A40"/>
    <mergeCell ref="A43:A44"/>
    <mergeCell ref="A47:A48"/>
    <mergeCell ref="A51:A52"/>
    <mergeCell ref="A29:A30"/>
    <mergeCell ref="F1:M1"/>
    <mergeCell ref="A6:N6"/>
    <mergeCell ref="A8:A10"/>
    <mergeCell ref="B8:B10"/>
    <mergeCell ref="C8:D9"/>
    <mergeCell ref="E8:F9"/>
    <mergeCell ref="G8:H9"/>
    <mergeCell ref="I8:J9"/>
    <mergeCell ref="K8:L9"/>
    <mergeCell ref="M8:M10"/>
    <mergeCell ref="N8:O9"/>
    <mergeCell ref="A14:A15"/>
    <mergeCell ref="A19:A20"/>
    <mergeCell ref="A23:A24"/>
    <mergeCell ref="A25:A26"/>
  </mergeCells>
  <printOptions horizontalCentered="1"/>
  <pageMargins left="0.25" right="0.25" top="0.75" bottom="0.75" header="0.3" footer="0.3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ДЭС</vt:lpstr>
      <vt:lpstr>ХЭС</vt:lpstr>
      <vt:lpstr>АЭС</vt:lpstr>
      <vt:lpstr>ЕАО</vt:lpstr>
      <vt:lpstr>АЭС!Область_печати</vt:lpstr>
      <vt:lpstr>ДЭС!Область_печати</vt:lpstr>
      <vt:lpstr>ЕАО!Область_печати</vt:lpstr>
      <vt:lpstr>ХЭС!Область_печати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2022-12-16T02:08:18Z</dcterms:modified>
</cp:coreProperties>
</file>