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-15" windowWidth="14385" windowHeight="12285" tabRatio="796"/>
  </bookViews>
  <sheets>
    <sheet name="10кв Финансирование" sheetId="10" r:id="rId1"/>
  </sheets>
  <definedNames>
    <definedName name="Z_500C2F4F_1743_499A_A051_20565DBF52B2_.wvu.PrintArea" localSheetId="0" hidden="1">'10кв Финансирование'!$A$1:$T$81</definedName>
    <definedName name="_xlnm.Print_Area" localSheetId="0">'10кв Финансирование'!$A$1:$T$81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80" i="10" l="1"/>
  <c r="R79" i="10"/>
  <c r="R78" i="10"/>
  <c r="R77" i="10"/>
  <c r="R61" i="10"/>
  <c r="R60" i="10"/>
  <c r="R55" i="10"/>
  <c r="R52" i="10"/>
  <c r="N46" i="10"/>
  <c r="N45" i="10"/>
  <c r="N42" i="10"/>
  <c r="N40" i="10"/>
  <c r="P76" i="10" l="1"/>
  <c r="O76" i="10"/>
  <c r="N76" i="10"/>
  <c r="M76" i="10"/>
  <c r="K76" i="10"/>
  <c r="I76" i="10"/>
  <c r="E76" i="10"/>
  <c r="D76" i="10"/>
  <c r="L46" i="10" l="1"/>
  <c r="L45" i="10" l="1"/>
  <c r="L44" i="10" l="1"/>
  <c r="L43" i="10" l="1"/>
  <c r="L42" i="10" l="1"/>
  <c r="L40" i="10" l="1"/>
  <c r="L80" i="10" l="1"/>
  <c r="L79" i="10"/>
  <c r="L76" i="10" s="1"/>
  <c r="F46" i="10"/>
  <c r="F42" i="10" l="1"/>
  <c r="E42" i="10"/>
  <c r="F40" i="10" l="1"/>
  <c r="E40" i="10"/>
  <c r="J78" i="10" l="1"/>
  <c r="J76" i="10" s="1"/>
  <c r="J43" i="10"/>
  <c r="E41" i="10" l="1"/>
  <c r="D41" i="10"/>
  <c r="J42" i="10" l="1"/>
  <c r="J41" i="10"/>
  <c r="P37" i="10"/>
  <c r="O37" i="10"/>
  <c r="N37" i="10"/>
  <c r="M37" i="10"/>
  <c r="L37" i="10"/>
  <c r="K37" i="10"/>
  <c r="I37" i="10"/>
  <c r="H41" i="10"/>
  <c r="R41" i="10" s="1"/>
  <c r="G41" i="10"/>
  <c r="J46" i="10"/>
  <c r="J40" i="10"/>
  <c r="J45" i="10"/>
  <c r="J44" i="10"/>
  <c r="J37" i="10" l="1"/>
  <c r="Q41" i="10"/>
  <c r="F78" i="10"/>
  <c r="E38" i="10"/>
  <c r="E39" i="10"/>
  <c r="F52" i="10"/>
  <c r="F79" i="10"/>
  <c r="P54" i="10"/>
  <c r="O54" i="10"/>
  <c r="N54" i="10"/>
  <c r="M54" i="10"/>
  <c r="L54" i="10"/>
  <c r="K54" i="10"/>
  <c r="J54" i="10"/>
  <c r="I54" i="10"/>
  <c r="E54" i="10"/>
  <c r="D54" i="10"/>
  <c r="H55" i="10"/>
  <c r="G55" i="10"/>
  <c r="G54" i="10" s="1"/>
  <c r="F54" i="10"/>
  <c r="E37" i="10" l="1"/>
  <c r="R54" i="10"/>
  <c r="S55" i="10"/>
  <c r="S54" i="10" s="1"/>
  <c r="H54" i="10"/>
  <c r="Q55" i="10"/>
  <c r="Q54" i="10" s="1"/>
  <c r="H80" i="10" l="1"/>
  <c r="G80" i="10"/>
  <c r="F80" i="10"/>
  <c r="Q80" i="10" l="1"/>
  <c r="H46" i="10"/>
  <c r="H45" i="10"/>
  <c r="Q45" i="10" s="1"/>
  <c r="H44" i="10"/>
  <c r="R44" i="10" s="1"/>
  <c r="H43" i="10"/>
  <c r="R43" i="10" s="1"/>
  <c r="G46" i="10"/>
  <c r="G45" i="10"/>
  <c r="G44" i="10"/>
  <c r="G43" i="10"/>
  <c r="R45" i="10" l="1"/>
  <c r="R46" i="10"/>
  <c r="Q46" i="10"/>
  <c r="Q43" i="10"/>
  <c r="Q44" i="10"/>
  <c r="P51" i="10"/>
  <c r="O51" i="10"/>
  <c r="N51" i="10"/>
  <c r="M51" i="10"/>
  <c r="L51" i="10"/>
  <c r="K51" i="10"/>
  <c r="J51" i="10"/>
  <c r="I51" i="10"/>
  <c r="F51" i="10"/>
  <c r="E51" i="10"/>
  <c r="D51" i="10"/>
  <c r="G78" i="10" l="1"/>
  <c r="H78" i="10"/>
  <c r="Q78" i="10" l="1"/>
  <c r="H52" i="10" l="1"/>
  <c r="G52" i="10"/>
  <c r="G51" i="10" s="1"/>
  <c r="R51" i="10" l="1"/>
  <c r="H51" i="10"/>
  <c r="Q52" i="10"/>
  <c r="Q51" i="10" s="1"/>
  <c r="D42" i="10" l="1"/>
  <c r="D40" i="10"/>
  <c r="D37" i="10" s="1"/>
  <c r="H42" i="10" l="1"/>
  <c r="H40" i="10"/>
  <c r="R40" i="10" s="1"/>
  <c r="G42" i="10"/>
  <c r="G40" i="10"/>
  <c r="R42" i="10" l="1"/>
  <c r="Q42" i="10"/>
  <c r="Q40" i="10"/>
  <c r="T81" i="10"/>
  <c r="S53" i="10"/>
  <c r="R53" i="10"/>
  <c r="S28" i="10"/>
  <c r="S27" i="10" s="1"/>
  <c r="S20" i="10" s="1"/>
  <c r="R28" i="10"/>
  <c r="S22" i="10"/>
  <c r="R22" i="10"/>
  <c r="S23" i="10"/>
  <c r="R23" i="10"/>
  <c r="S24" i="10"/>
  <c r="R24" i="10"/>
  <c r="T25" i="10"/>
  <c r="T24" i="10"/>
  <c r="T23" i="10"/>
  <c r="T22" i="10"/>
  <c r="T21" i="10"/>
  <c r="T20" i="10"/>
  <c r="Q53" i="10"/>
  <c r="Q32" i="10"/>
  <c r="Q28" i="10"/>
  <c r="Q24" i="10"/>
  <c r="Q23" i="10"/>
  <c r="Q22" i="10"/>
  <c r="L25" i="10"/>
  <c r="J25" i="10"/>
  <c r="G79" i="10"/>
  <c r="H77" i="10"/>
  <c r="G77" i="10"/>
  <c r="P25" i="10"/>
  <c r="O25" i="10"/>
  <c r="N25" i="10"/>
  <c r="K25" i="10"/>
  <c r="H61" i="10"/>
  <c r="G61" i="10"/>
  <c r="H60" i="10"/>
  <c r="G60" i="10"/>
  <c r="P59" i="10"/>
  <c r="P57" i="10" s="1"/>
  <c r="O59" i="10"/>
  <c r="O57" i="10" s="1"/>
  <c r="N59" i="10"/>
  <c r="N57" i="10" s="1"/>
  <c r="M59" i="10"/>
  <c r="M57" i="10" s="1"/>
  <c r="L59" i="10"/>
  <c r="L57" i="10" s="1"/>
  <c r="K59" i="10"/>
  <c r="K57" i="10" s="1"/>
  <c r="J59" i="10"/>
  <c r="J57" i="10" s="1"/>
  <c r="I59" i="10"/>
  <c r="I57" i="10" s="1"/>
  <c r="P53" i="10"/>
  <c r="O53" i="10"/>
  <c r="N53" i="10"/>
  <c r="M53" i="10"/>
  <c r="L53" i="10"/>
  <c r="K53" i="10"/>
  <c r="J53" i="10"/>
  <c r="I53" i="10"/>
  <c r="H53" i="10"/>
  <c r="G53" i="10"/>
  <c r="P49" i="10"/>
  <c r="O49" i="10"/>
  <c r="N49" i="10"/>
  <c r="M49" i="10"/>
  <c r="L49" i="10"/>
  <c r="K49" i="10"/>
  <c r="J49" i="10"/>
  <c r="I49" i="10"/>
  <c r="H39" i="10"/>
  <c r="R39" i="10" s="1"/>
  <c r="G39" i="10"/>
  <c r="H38" i="10"/>
  <c r="G38" i="10"/>
  <c r="O36" i="10"/>
  <c r="N36" i="10"/>
  <c r="K36" i="10"/>
  <c r="J36" i="10"/>
  <c r="P36" i="10"/>
  <c r="M36" i="10"/>
  <c r="L36" i="10"/>
  <c r="I36" i="10"/>
  <c r="P32" i="10"/>
  <c r="O32" i="10"/>
  <c r="N32" i="10"/>
  <c r="M32" i="10"/>
  <c r="L32" i="10"/>
  <c r="K32" i="10"/>
  <c r="J32" i="10"/>
  <c r="I32" i="10"/>
  <c r="H32" i="10"/>
  <c r="G32" i="10"/>
  <c r="P28" i="10"/>
  <c r="O28" i="10"/>
  <c r="N28" i="10"/>
  <c r="M28" i="10"/>
  <c r="L28" i="10"/>
  <c r="K28" i="10"/>
  <c r="J28" i="10"/>
  <c r="I28" i="10"/>
  <c r="H28" i="10"/>
  <c r="G28" i="10"/>
  <c r="M25" i="10"/>
  <c r="I25" i="10"/>
  <c r="P24" i="10"/>
  <c r="O24" i="10"/>
  <c r="N24" i="10"/>
  <c r="M24" i="10"/>
  <c r="L24" i="10"/>
  <c r="K24" i="10"/>
  <c r="J24" i="10"/>
  <c r="I24" i="10"/>
  <c r="H24" i="10"/>
  <c r="G24" i="10"/>
  <c r="P23" i="10"/>
  <c r="O23" i="10"/>
  <c r="N23" i="10"/>
  <c r="M23" i="10"/>
  <c r="L23" i="10"/>
  <c r="K23" i="10"/>
  <c r="J23" i="10"/>
  <c r="I23" i="10"/>
  <c r="H23" i="10"/>
  <c r="G23" i="10"/>
  <c r="P22" i="10"/>
  <c r="O22" i="10"/>
  <c r="N22" i="10"/>
  <c r="M22" i="10"/>
  <c r="L22" i="10"/>
  <c r="K22" i="10"/>
  <c r="J22" i="10"/>
  <c r="I22" i="10"/>
  <c r="H22" i="10"/>
  <c r="G22" i="10"/>
  <c r="F77" i="10"/>
  <c r="F76" i="10" s="1"/>
  <c r="F61" i="10"/>
  <c r="F60" i="10"/>
  <c r="F53" i="10"/>
  <c r="F32" i="10"/>
  <c r="F28" i="10"/>
  <c r="F24" i="10"/>
  <c r="F23" i="10"/>
  <c r="F22" i="10"/>
  <c r="E59" i="10"/>
  <c r="E57" i="10" s="1"/>
  <c r="E53" i="10"/>
  <c r="E49" i="10"/>
  <c r="F39" i="10"/>
  <c r="E32" i="10"/>
  <c r="E28" i="10"/>
  <c r="E25" i="10"/>
  <c r="E24" i="10"/>
  <c r="E23" i="10"/>
  <c r="E22" i="10"/>
  <c r="D25" i="10"/>
  <c r="D59" i="10"/>
  <c r="D57" i="10" s="1"/>
  <c r="D53" i="10"/>
  <c r="D49" i="10"/>
  <c r="D36" i="10"/>
  <c r="D32" i="10"/>
  <c r="D28" i="10"/>
  <c r="D24" i="10"/>
  <c r="D23" i="10"/>
  <c r="D22" i="10"/>
  <c r="H37" i="10" l="1"/>
  <c r="H36" i="10" s="1"/>
  <c r="H27" i="10" s="1"/>
  <c r="H20" i="10" s="1"/>
  <c r="G76" i="10"/>
  <c r="G37" i="10"/>
  <c r="H59" i="10"/>
  <c r="H57" i="10" s="1"/>
  <c r="N48" i="10"/>
  <c r="N21" i="10" s="1"/>
  <c r="F59" i="10"/>
  <c r="F57" i="10" s="1"/>
  <c r="H79" i="10"/>
  <c r="H76" i="10" s="1"/>
  <c r="E36" i="10"/>
  <c r="E27" i="10" s="1"/>
  <c r="E20" i="10" s="1"/>
  <c r="F25" i="10"/>
  <c r="G36" i="10"/>
  <c r="G27" i="10" s="1"/>
  <c r="G20" i="10" s="1"/>
  <c r="L27" i="10"/>
  <c r="L20" i="10" s="1"/>
  <c r="R38" i="10"/>
  <c r="R37" i="10" s="1"/>
  <c r="G25" i="10"/>
  <c r="E48" i="10"/>
  <c r="E21" i="10" s="1"/>
  <c r="P48" i="10"/>
  <c r="P21" i="10" s="1"/>
  <c r="L48" i="10"/>
  <c r="L21" i="10" s="1"/>
  <c r="J48" i="10"/>
  <c r="J21" i="10" s="1"/>
  <c r="N27" i="10"/>
  <c r="N20" i="10" s="1"/>
  <c r="J27" i="10"/>
  <c r="J20" i="10" s="1"/>
  <c r="S61" i="10"/>
  <c r="Q61" i="10"/>
  <c r="Q77" i="10"/>
  <c r="Q49" i="10"/>
  <c r="H49" i="10"/>
  <c r="R59" i="10"/>
  <c r="F38" i="10"/>
  <c r="F37" i="10" s="1"/>
  <c r="K27" i="10"/>
  <c r="K20" i="10" s="1"/>
  <c r="K48" i="10"/>
  <c r="K21" i="10" s="1"/>
  <c r="I48" i="10"/>
  <c r="I21" i="10" s="1"/>
  <c r="M48" i="10"/>
  <c r="M21" i="10" s="1"/>
  <c r="G49" i="10"/>
  <c r="S60" i="10"/>
  <c r="D48" i="10"/>
  <c r="D21" i="10" s="1"/>
  <c r="M27" i="10"/>
  <c r="M20" i="10" s="1"/>
  <c r="G59" i="10"/>
  <c r="G57" i="10" s="1"/>
  <c r="Q60" i="10"/>
  <c r="F49" i="10"/>
  <c r="F48" i="10" s="1"/>
  <c r="F21" i="10" s="1"/>
  <c r="O27" i="10"/>
  <c r="O20" i="10" s="1"/>
  <c r="O48" i="10"/>
  <c r="O21" i="10" s="1"/>
  <c r="P27" i="10"/>
  <c r="P20" i="10" s="1"/>
  <c r="I27" i="10"/>
  <c r="I20" i="10" s="1"/>
  <c r="Q39" i="10"/>
  <c r="D27" i="10"/>
  <c r="D20" i="10" s="1"/>
  <c r="H48" i="10" l="1"/>
  <c r="H21" i="10" s="1"/>
  <c r="Q59" i="10"/>
  <c r="Q57" i="10" s="1"/>
  <c r="Q48" i="10" s="1"/>
  <c r="Q21" i="10" s="1"/>
  <c r="N19" i="10"/>
  <c r="N81" i="10" s="1"/>
  <c r="R76" i="10"/>
  <c r="Q79" i="10"/>
  <c r="H25" i="10"/>
  <c r="H19" i="10" s="1"/>
  <c r="H81" i="10" s="1"/>
  <c r="L19" i="10"/>
  <c r="L81" i="10" s="1"/>
  <c r="P19" i="10"/>
  <c r="P81" i="10" s="1"/>
  <c r="D19" i="10"/>
  <c r="E19" i="10"/>
  <c r="E81" i="10" s="1"/>
  <c r="F36" i="10"/>
  <c r="F27" i="10" s="1"/>
  <c r="F20" i="10" s="1"/>
  <c r="F19" i="10" s="1"/>
  <c r="F81" i="10" s="1"/>
  <c r="S77" i="10"/>
  <c r="J19" i="10"/>
  <c r="J81" i="10" s="1"/>
  <c r="M19" i="10"/>
  <c r="M81" i="10" s="1"/>
  <c r="O19" i="10"/>
  <c r="O81" i="10" s="1"/>
  <c r="K19" i="10"/>
  <c r="K81" i="10" s="1"/>
  <c r="I19" i="10"/>
  <c r="I81" i="10" s="1"/>
  <c r="G48" i="10"/>
  <c r="G21" i="10" s="1"/>
  <c r="G19" i="10" s="1"/>
  <c r="G81" i="10" s="1"/>
  <c r="Q38" i="10"/>
  <c r="Q37" i="10" s="1"/>
  <c r="R57" i="10"/>
  <c r="S57" i="10" s="1"/>
  <c r="S59" i="10"/>
  <c r="R49" i="10"/>
  <c r="R36" i="10"/>
  <c r="R27" i="10" s="1"/>
  <c r="R20" i="10" s="1"/>
  <c r="Q76" i="10" l="1"/>
  <c r="Q25" i="10" s="1"/>
  <c r="Q36" i="10"/>
  <c r="Q27" i="10" s="1"/>
  <c r="Q20" i="10" s="1"/>
  <c r="R48" i="10"/>
  <c r="R25" i="10"/>
  <c r="S76" i="10"/>
  <c r="S25" i="10" s="1"/>
  <c r="B18" i="10"/>
  <c r="C18" i="10" s="1"/>
  <c r="D18" i="10" s="1"/>
  <c r="Q19" i="10" l="1"/>
  <c r="Q81" i="10" s="1"/>
  <c r="S48" i="10"/>
  <c r="S21" i="10" s="1"/>
  <c r="R21" i="10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R19" i="10" l="1"/>
  <c r="R81" i="10" s="1"/>
  <c r="S19" i="10" l="1"/>
  <c r="S81" i="10" s="1"/>
</calcChain>
</file>

<file path=xl/comments1.xml><?xml version="1.0" encoding="utf-8"?>
<comments xmlns="http://schemas.openxmlformats.org/spreadsheetml/2006/main">
  <authors>
    <author>Гаврилова Анастасия</author>
  </authors>
  <commentList>
    <comment ref="E40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учтена оплата аванса в  (2090124.04)</t>
        </r>
      </text>
    </comment>
    <comment ref="F40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учтена оплата аванса (2090125.04)</t>
        </r>
      </text>
    </comment>
    <comment ref="D41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без НДС</t>
        </r>
      </text>
    </comment>
    <comment ref="E42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учтена оплата аванса  (448303.76)</t>
        </r>
      </text>
    </comment>
    <comment ref="F42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КС-2 от 07.08.2018
(учтена оплата аванса </t>
        </r>
      </text>
    </comment>
    <comment ref="F43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договор от 18.12.2018 № 225-ДЛВ-2018</t>
        </r>
      </text>
    </comment>
    <comment ref="F44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договор от 19.11.2018 № КС/9</t>
        </r>
      </text>
    </comment>
    <comment ref="F45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договор от 01.10.2018 № КС/6</t>
        </r>
      </text>
    </comment>
    <comment ref="F46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договор от 06.11.2018 № КС/8</t>
        </r>
      </text>
    </comment>
  </commentList>
</comments>
</file>

<file path=xl/sharedStrings.xml><?xml version="1.0" encoding="utf-8"?>
<sst xmlns="http://schemas.openxmlformats.org/spreadsheetml/2006/main" count="290" uniqueCount="169">
  <si>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</si>
  <si>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</si>
  <si>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</si>
  <si>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</si>
  <si>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</si>
  <si>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</si>
  <si>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</si>
  <si>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</si>
  <si>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</si>
  <si>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</si>
  <si>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</si>
  <si>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</si>
  <si>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</si>
  <si>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</si>
  <si>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</si>
  <si>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</si>
  <si>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</t>
  </si>
  <si>
    <t>1.1.1</t>
  </si>
  <si>
    <t>1.1.1.1</t>
  </si>
  <si>
    <t>1.1.1.2</t>
  </si>
  <si>
    <t>1.1.1.3</t>
  </si>
  <si>
    <t>1.1.2</t>
  </si>
  <si>
    <t>1.1.3</t>
  </si>
  <si>
    <t>1.2</t>
  </si>
  <si>
    <t>1.2.1</t>
  </si>
  <si>
    <t>1.2.1.1</t>
  </si>
  <si>
    <t>1.2.1.2</t>
  </si>
  <si>
    <t>1.2.2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</si>
  <si>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</si>
  <si>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</si>
  <si>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</si>
  <si>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</si>
  <si>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</si>
  <si>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</si>
  <si>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</si>
  <si>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</si>
  <si>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1.3</t>
  </si>
  <si>
    <t>1.4</t>
  </si>
  <si>
    <t>1.6</t>
  </si>
  <si>
    <t>1.1.2.1</t>
  </si>
  <si>
    <t>1.1.2.2</t>
  </si>
  <si>
    <t>Отклонение от плана финансирования по итогам отчетного периода</t>
  </si>
  <si>
    <t>Приложение  № 10</t>
  </si>
  <si>
    <t xml:space="preserve"> 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</si>
  <si>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</si>
  <si>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</si>
  <si>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</si>
  <si>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</si>
  <si>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</si>
  <si>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филиала "Дальневосточный" АО "Оборонэнерго"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</si>
  <si>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>распоряжением Правительства Хабаровского края от 19 августа 2015 г. № 540-рп.</t>
    </r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</si>
  <si>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</si>
  <si>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</si>
  <si>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</si>
  <si>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</si>
  <si>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</si>
  <si>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</si>
  <si>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</si>
  <si>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</si>
  <si>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</si>
  <si>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</si>
  <si>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 целей реализации инвестиционных проектов, всего</t>
  </si>
  <si>
    <t>0.6</t>
  </si>
  <si>
    <t>Прочие инвестиционные проекты, всего</t>
  </si>
  <si>
    <t>1</t>
  </si>
  <si>
    <t>Хабаровский край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</si>
  <si>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</si>
  <si>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</si>
  <si>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</si>
  <si>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всего, в том числе:</t>
  </si>
  <si>
    <t>Технологическое присоединение энергопринимающих устройств потребителей свыше 150 кВт включительно,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</si>
  <si>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</si>
  <si>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</si>
  <si>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</si>
  <si>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</si>
  <si>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</si>
  <si>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</si>
  <si>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</si>
  <si>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</si>
  <si>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ЦОД и СЦ, г. Хабаровск, Серышева, 13</t>
  </si>
  <si>
    <t>G/ДЛВ/27/02/0221</t>
  </si>
  <si>
    <t>Строительство здания на территории военного городка № 6 в п. Князе - Волконское, Хабаровского края.</t>
  </si>
  <si>
    <t>G/ДЛВ/27/02/0222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</si>
  <si>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</si>
  <si>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</si>
  <si>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</si>
  <si>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</si>
  <si>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</si>
  <si>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</si>
  <si>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</si>
  <si>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</si>
  <si>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</si>
  <si>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</si>
  <si>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</si>
  <si>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</si>
  <si>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"Установка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</si>
  <si>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</si>
  <si>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Реконструкция: установка и замена приборов учета на границах раздела со смежными сетевыми организациями (ССО)</t>
  </si>
  <si>
    <t>H/ДЛВ/27/01/01114</t>
  </si>
  <si>
    <t>Установка автоматической информационно-измерительной системы коммерческого учета электроэнергии (АИИС КУЭ)</t>
  </si>
  <si>
    <t>I/ДЛВ/27/01/01115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</si>
  <si>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</si>
  <si>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</si>
  <si>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</si>
  <si>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</si>
  <si>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</si>
  <si>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</si>
  <si>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</si>
  <si>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</si>
  <si>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</si>
  <si>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</si>
  <si>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</si>
  <si>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</si>
  <si>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</si>
  <si>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электроэнергетики.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</si>
  <si>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</si>
  <si>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</si>
  <si>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</si>
  <si>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Хабаровского края, всего, в том числе:</t>
  </si>
  <si>
    <t>Прочее новое строительство объектов электросетевого хозяйства. всего, в том числе:</t>
  </si>
  <si>
    <t>1.5.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</si>
  <si>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</si>
  <si>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</si>
  <si>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r>
      <t xml:space="preserve">КЛЭП-10 кВ </t>
    </r>
    <r>
      <rPr>
        <b/>
        <sz val="12"/>
        <rFont val="Times New Roman"/>
        <family val="1"/>
        <charset val="204"/>
      </rPr>
      <t>ТП-274-ТП-276</t>
    </r>
    <r>
      <rPr>
        <sz val="12"/>
        <rFont val="Times New Roman"/>
        <family val="1"/>
        <charset val="204"/>
      </rPr>
      <t>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прокладки в соленной (морской) воде)</t>
    </r>
  </si>
  <si>
    <t>I/ДЛВ/27/01/0151</t>
  </si>
  <si>
    <t>Приобретение имущества производственного назначения по Хабаровскому краю</t>
  </si>
  <si>
    <t>H/ДЛВ/27/03/0001</t>
  </si>
  <si>
    <t>нд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</si>
  <si>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</si>
  <si>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J/ДЛВ/27/01/0170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</si>
  <si>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</si>
  <si>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 xml:space="preserve">J/ДЛВ/27/01/0159 </t>
  </si>
  <si>
    <t>J/ДЛВ/27/05/0001</t>
  </si>
  <si>
    <t>J/ДЛВ/27/05/0003</t>
  </si>
  <si>
    <t>Строительство: ВЛЭП-10кВ иВЛЭп04кВ (в т.ч. столбовые ТП тех. присоединения объектов: жилые дома физ.лиц по адресу:Хаб.край, Бикинский р-н, район им. ЛАЗО (льготники)</t>
  </si>
  <si>
    <t>Строительство: ЛЭП6-10 кВ до 2КТПн-250/10/0,4кВ, 2 КТП-63/10/0,4 кВ, 2 КТП 63/10/0,4 кВ по адресу: Хаб.край, г. Хабаровск-47, в/ч 25025</t>
  </si>
  <si>
    <t>Договоры на технологическое присоединение заключаются внепланово, по факту поданных заявок, а исполнение обязательств сетевой организацией перед заявителем ограничено сроком 4-6 месяцев. В связи с этим работы не могут быть запланированы преждевременно.</t>
  </si>
  <si>
    <t>Отсутствие претендентов по закупке (31806956755) на выполнение инженерных изысканий и проектных работ (ПИР) по реконструкции объекта. Выполнение строительно-монтажных работ возможно после выполнения ПИР.</t>
  </si>
  <si>
    <t>выполнение обязательств перед заявителем</t>
  </si>
  <si>
    <t>J/ДЛВ/27/05/0006</t>
  </si>
  <si>
    <t>J/ДЛВ/27/05/0007</t>
  </si>
  <si>
    <t>J/ДЛВ/27/05/0004</t>
  </si>
  <si>
    <t>J/ДЛВ/27/05/0005</t>
  </si>
  <si>
    <t>Строительство: 2 КЛЭП6 кВ (аэродром "Дземги"Комсомольск)</t>
  </si>
  <si>
    <t>Строительство: 2 КЛЭП6 кВ (аэродром "Хабаровск" (Большой)</t>
  </si>
  <si>
    <t xml:space="preserve">Строительство: 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</si>
  <si>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Строительство: ВЛЭП-6кВ (Хабаровск)</t>
  </si>
  <si>
    <t>Приобретение МКМ (1 шт)</t>
  </si>
  <si>
    <t>J/ДЛВ/27/03/0002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</si>
  <si>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</t>
    </r>
  </si>
  <si>
    <t>Финансирование капитальных вложений 2019 года, млн. рублей (с НДС)</t>
  </si>
  <si>
    <t xml:space="preserve">Фактический объем финансирования капитальных вложений на  01.01.2019 года, млн. рублей (с НДС) </t>
  </si>
  <si>
    <t xml:space="preserve">Остаток финансирования капитальных вложений 
на  01.01.2019 года  в прогнозных ценах соответствующих лет,  млн. рублей (с НДС) </t>
  </si>
  <si>
    <r>
      <rPr>
        <b/>
        <sz val="12"/>
        <rFont val="Times New Roman"/>
        <family val="1"/>
        <charset val="204"/>
      </rPr>
      <t>ЛЭП-10 кВ МГРЭС - ТП-60</t>
    </r>
    <r>
      <rPr>
        <sz val="12"/>
        <rFont val="Times New Roman"/>
        <family val="1"/>
        <charset val="204"/>
      </rPr>
      <t>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  </r>
  </si>
  <si>
    <t>J/ДЛВ/27/01/01113</t>
  </si>
  <si>
    <t>Ведется согласование закупочной процедуры на поставку материалов для выполнения работ</t>
  </si>
  <si>
    <t>Ведется мониторинг и поиск компаний, способных оказать  услуги по проектированию системы  автоматизированного учета электроэнергии: пред проектное обследование объектов, подготовку проектной и сметной документации, выполнения  функции генерального проектировщика проекта  АСКУЭ</t>
  </si>
  <si>
    <t>Укомплектование парка автомобильной техники. Работа включена в корректировку ИП на 2019 год.</t>
  </si>
  <si>
    <t>J/ДЛВ/27/05/0002</t>
  </si>
  <si>
    <t>Строительство: Воздушная линия 0,4 о КТПН-УНР 1264 РУ-0,4 кВ ф.1 до ВРУ-0,4 кВ здания канализационной насосной по адресу: Хабаровский край, ул. Шкотова</t>
  </si>
  <si>
    <t>Выполнение обязательств перед заявителем. Объем финансирования определялся стоимостью работ по подготовке ПИР по договору с подрядной организацией. Работы по ПИР выполнены подрядной организацией в 2018 году, СМР поизводились хоз. способом.</t>
  </si>
  <si>
    <t>Работы по выполнению реконструкции объекта поданы в корректировку инвестиционной программы на 2018 год. В рассморении корректировки инвестиционной программы на 2018 год  отказано (уведомление Комитета по развитию ТЭК Правительства Хабаровского края от 24.04.2018 №12.3.47-10227). В 2018 г. Подрядной организацией выполнены работы по ПИР (окончательный расчет произведен в 1-ом квартале 2019 г.). Выполнение строительно-монтажных работ по данному объекту включены в корректировку ИП на 2019 год.</t>
  </si>
  <si>
    <t>Выполнены работы по ПИР. Строительно-монтажные  работы по данному объекту включены в корректировку ИП на 2019 год.</t>
  </si>
  <si>
    <t>Выполнение работ планировалось в 2014 году, но несвоевременное  исполнение обязательств подрядной организации привело к затягиванию сроков. В настоящее время договор подряда расторгнут, доходный договор (Договор ТП) находится на стадии подписания дополнительного соглашения.</t>
  </si>
  <si>
    <t xml:space="preserve">Выполнение обязательств перед заявителем. Работа подрядной организации оплачена в полном объеме. </t>
  </si>
  <si>
    <t>Выполнение работ планировалось в 2015 году, но несвоевременное  исполнение обязательств подрядной организации привело к затягиванию сроков. В рамках судебного разбирательства подписано мировое соглашение о приемке фактически выполненных работ.</t>
  </si>
  <si>
    <t>за 3 квартал  2019 года</t>
  </si>
  <si>
    <t>ДВ00-061578</t>
  </si>
  <si>
    <t>произведена оплата за приобретенные в 1-ом квартале 2019 г. бензокусторез и перфораторы по договору централизованной поставки от 22.09.2017 № 57-2017; приобретены панели ЩО-70 - 7 шт; произведена оплата  трансформатора ТМГ-СЭЩ-250/10-11 УХЛ1 10/0,4 Y/Y, закупленного для устранения аварийной ситуации; для устранения аварии приобретен трансформатор ТМГ-100 кВа 10/0,4 Y/Y-01 - 1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</si>
</sst>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1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27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29" fillId="0" borderId="10" xfId="54" applyFont="1" applyBorder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1" fillId="24" borderId="0" xfId="37" applyFont="1" applyFill="1" applyBorder="1" applyAlignment="1">
      <alignment horizontal="center"/>
    </xf>
    <xf numFmtId="0" fontId="31" fillId="0" borderId="0" xfId="37" applyFont="1" applyFill="1" applyBorder="1" applyAlignment="1"/>
    <xf numFmtId="0" fontId="31" fillId="0" borderId="0" xfId="0" applyFont="1" applyFill="1" applyAlignment="1"/>
    <xf numFmtId="0" fontId="36" fillId="0" borderId="0" xfId="54" applyFont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0" fontId="29" fillId="0" borderId="10" xfId="54" applyFont="1" applyBorder="1" applyAlignment="1">
      <alignment horizontal="center" vertical="center" wrapText="1"/>
    </xf>
    <xf numFmtId="2" fontId="38" fillId="0" borderId="10" xfId="54" applyNumberFormat="1" applyFont="1" applyFill="1" applyBorder="1" applyAlignment="1">
      <alignment horizontal="center" vertical="center"/>
    </xf>
    <xf numFmtId="2" fontId="38" fillId="0" borderId="10" xfId="54" applyNumberFormat="1" applyFont="1" applyFill="1" applyBorder="1" applyAlignment="1">
      <alignment horizontal="center" vertical="center" wrapText="1"/>
    </xf>
    <xf numFmtId="2" fontId="38" fillId="0" borderId="10" xfId="54" applyNumberFormat="1" applyFont="1" applyBorder="1" applyAlignment="1">
      <alignment horizontal="center" vertical="center"/>
    </xf>
    <xf numFmtId="2" fontId="29" fillId="0" borderId="10" xfId="54" applyNumberFormat="1" applyFont="1" applyFill="1" applyBorder="1" applyAlignment="1">
      <alignment horizontal="center" vertical="center"/>
    </xf>
    <xf numFmtId="2" fontId="29" fillId="0" borderId="10" xfId="54" applyNumberFormat="1" applyFont="1" applyFill="1" applyBorder="1" applyAlignment="1">
      <alignment horizontal="center" vertical="center" wrapText="1"/>
    </xf>
    <xf numFmtId="2" fontId="29" fillId="0" borderId="10" xfId="54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2" fontId="39" fillId="0" borderId="10" xfId="0" applyNumberFormat="1" applyFont="1" applyFill="1" applyBorder="1" applyAlignment="1">
      <alignment horizontal="center" vertical="center" wrapText="1"/>
    </xf>
    <xf numFmtId="2" fontId="29" fillId="25" borderId="10" xfId="54" applyNumberFormat="1" applyFont="1" applyFill="1" applyBorder="1" applyAlignment="1">
      <alignment horizontal="center" vertical="center"/>
    </xf>
    <xf numFmtId="2" fontId="29" fillId="25" borderId="10" xfId="54" applyNumberFormat="1" applyFont="1" applyFill="1" applyBorder="1" applyAlignment="1">
      <alignment horizontal="center" vertical="center" wrapText="1"/>
    </xf>
    <xf numFmtId="2" fontId="9" fillId="25" borderId="10" xfId="0" applyNumberFormat="1" applyFont="1" applyFill="1" applyBorder="1" applyAlignment="1">
      <alignment horizontal="center" vertical="center" wrapText="1"/>
    </xf>
    <xf numFmtId="49" fontId="29" fillId="25" borderId="10" xfId="54" applyNumberFormat="1" applyFont="1" applyFill="1" applyBorder="1" applyAlignment="1">
      <alignment horizontal="center" vertical="center" wrapText="1"/>
    </xf>
    <xf numFmtId="0" fontId="9" fillId="25" borderId="10" xfId="0" applyFont="1" applyFill="1" applyBorder="1" applyAlignment="1">
      <alignment horizontal="center" vertical="center" wrapText="1"/>
    </xf>
    <xf numFmtId="49" fontId="29" fillId="26" borderId="10" xfId="54" applyNumberFormat="1" applyFont="1" applyFill="1" applyBorder="1" applyAlignment="1">
      <alignment horizontal="center" vertical="center" wrapText="1"/>
    </xf>
    <xf numFmtId="2" fontId="29" fillId="26" borderId="10" xfId="54" applyNumberFormat="1" applyFont="1" applyFill="1" applyBorder="1" applyAlignment="1">
      <alignment horizontal="center" vertical="center" wrapText="1"/>
    </xf>
    <xf numFmtId="168" fontId="9" fillId="26" borderId="10" xfId="0" applyNumberFormat="1" applyFont="1" applyFill="1" applyBorder="1" applyAlignment="1">
      <alignment horizontal="center" vertical="center" wrapText="1"/>
    </xf>
    <xf numFmtId="0" fontId="9" fillId="26" borderId="10" xfId="0" applyFont="1" applyFill="1" applyBorder="1" applyAlignment="1">
      <alignment horizontal="center" vertical="center" wrapText="1"/>
    </xf>
    <xf numFmtId="2" fontId="29" fillId="26" borderId="10" xfId="54" applyNumberFormat="1" applyFont="1" applyFill="1" applyBorder="1" applyAlignment="1">
      <alignment horizontal="center" vertical="center"/>
    </xf>
    <xf numFmtId="2" fontId="9" fillId="26" borderId="10" xfId="0" applyNumberFormat="1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0" fontId="29" fillId="0" borderId="10" xfId="54" applyFont="1" applyFill="1" applyBorder="1" applyAlignment="1">
      <alignment horizontal="center" vertical="center" wrapText="1"/>
    </xf>
    <xf numFmtId="49" fontId="40" fillId="26" borderId="10" xfId="0" applyNumberFormat="1" applyFont="1" applyFill="1" applyBorder="1" applyAlignment="1" applyProtection="1">
      <alignment horizontal="left" vertical="center" wrapText="1"/>
    </xf>
    <xf numFmtId="2" fontId="29" fillId="27" borderId="10" xfId="54" applyNumberFormat="1" applyFont="1" applyFill="1" applyBorder="1" applyAlignment="1">
      <alignment horizontal="center" vertical="center"/>
    </xf>
    <xf numFmtId="2" fontId="29" fillId="27" borderId="10" xfId="54" applyNumberFormat="1" applyFont="1" applyFill="1" applyBorder="1" applyAlignment="1">
      <alignment horizontal="center" vertical="center" wrapText="1"/>
    </xf>
    <xf numFmtId="2" fontId="9" fillId="27" borderId="1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27" borderId="10" xfId="0" applyNumberFormat="1" applyFont="1" applyFill="1" applyBorder="1" applyAlignment="1">
      <alignment horizontal="left" vertical="center" wrapText="1"/>
    </xf>
    <xf numFmtId="0" fontId="29" fillId="27" borderId="10" xfId="54" applyFont="1" applyFill="1" applyBorder="1" applyAlignment="1">
      <alignment horizontal="center" vertical="center" wrapText="1"/>
    </xf>
    <xf numFmtId="49" fontId="29" fillId="26" borderId="10" xfId="54" applyNumberFormat="1" applyFont="1" applyFill="1" applyBorder="1" applyAlignment="1">
      <alignment horizontal="center" vertical="center"/>
    </xf>
    <xf numFmtId="0" fontId="29" fillId="26" borderId="10" xfId="54" applyFont="1" applyFill="1" applyBorder="1" applyAlignment="1">
      <alignment horizontal="center" vertical="center" wrapText="1"/>
    </xf>
    <xf numFmtId="49" fontId="29" fillId="27" borderId="10" xfId="54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horizontal="center" vertical="center" wrapText="1"/>
    </xf>
    <xf numFmtId="49" fontId="29" fillId="27" borderId="10" xfId="54" applyNumberFormat="1" applyFont="1" applyFill="1" applyBorder="1" applyAlignment="1">
      <alignment horizontal="center" vertical="center" wrapText="1"/>
    </xf>
    <xf numFmtId="0" fontId="29" fillId="27" borderId="10" xfId="54" applyFont="1" applyFill="1" applyBorder="1" applyAlignment="1">
      <alignment horizontal="center" vertical="center"/>
    </xf>
    <xf numFmtId="0" fontId="29" fillId="26" borderId="10" xfId="54" applyFont="1" applyFill="1" applyBorder="1" applyAlignment="1">
      <alignment horizontal="center" vertical="center"/>
    </xf>
    <xf numFmtId="49" fontId="29" fillId="0" borderId="10" xfId="54" applyNumberFormat="1" applyFont="1" applyFill="1" applyBorder="1" applyAlignment="1">
      <alignment horizontal="center" vertical="center" wrapText="1"/>
    </xf>
    <xf numFmtId="49" fontId="9" fillId="24" borderId="10" xfId="0" applyNumberFormat="1" applyFont="1" applyFill="1" applyBorder="1" applyAlignment="1">
      <alignment horizontal="left" vertical="center" wrapText="1"/>
    </xf>
    <xf numFmtId="168" fontId="29" fillId="27" borderId="10" xfId="54" applyNumberFormat="1" applyFont="1" applyFill="1" applyBorder="1" applyAlignment="1">
      <alignment horizontal="center" vertical="center" wrapText="1"/>
    </xf>
    <xf numFmtId="49" fontId="9" fillId="26" borderId="10" xfId="0" applyNumberFormat="1" applyFont="1" applyFill="1" applyBorder="1" applyAlignment="1">
      <alignment horizontal="left" vertical="center" wrapText="1"/>
    </xf>
    <xf numFmtId="49" fontId="9" fillId="25" borderId="10" xfId="0" applyNumberFormat="1" applyFont="1" applyFill="1" applyBorder="1" applyAlignment="1">
      <alignment horizontal="left" vertical="center" wrapText="1"/>
    </xf>
    <xf numFmtId="0" fontId="29" fillId="25" borderId="10" xfId="54" applyFont="1" applyFill="1" applyBorder="1" applyAlignment="1">
      <alignment horizontal="center" vertical="center" wrapText="1"/>
    </xf>
    <xf numFmtId="49" fontId="29" fillId="25" borderId="10" xfId="54" applyNumberFormat="1" applyFont="1" applyFill="1" applyBorder="1" applyAlignment="1">
      <alignment horizontal="center" vertical="center"/>
    </xf>
    <xf numFmtId="49" fontId="40" fillId="25" borderId="10" xfId="0" applyNumberFormat="1" applyFont="1" applyFill="1" applyBorder="1" applyAlignment="1" applyProtection="1">
      <alignment horizontal="left" vertical="center" wrapText="1"/>
    </xf>
    <xf numFmtId="168" fontId="9" fillId="25" borderId="10" xfId="0" applyNumberFormat="1" applyFont="1" applyFill="1" applyBorder="1" applyAlignment="1">
      <alignment horizontal="center" vertical="center" wrapText="1"/>
    </xf>
    <xf numFmtId="0" fontId="29" fillId="0" borderId="10" xfId="54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 wrapText="1"/>
    </xf>
    <xf numFmtId="165" fontId="39" fillId="0" borderId="10" xfId="37" applyNumberFormat="1" applyFont="1" applyFill="1" applyBorder="1" applyAlignment="1">
      <alignment horizontal="center" vertical="center" wrapText="1"/>
    </xf>
    <xf numFmtId="168" fontId="9" fillId="0" borderId="10" xfId="37" applyNumberFormat="1" applyFont="1" applyFill="1" applyBorder="1" applyAlignment="1">
      <alignment horizontal="center" vertical="center"/>
    </xf>
    <xf numFmtId="165" fontId="39" fillId="0" borderId="10" xfId="37" applyNumberFormat="1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65" fontId="9" fillId="27" borderId="10" xfId="37" applyNumberFormat="1" applyFont="1" applyFill="1" applyBorder="1" applyAlignment="1">
      <alignment horizontal="center" vertical="center"/>
    </xf>
    <xf numFmtId="165" fontId="9" fillId="27" borderId="10" xfId="0" applyNumberFormat="1" applyFont="1" applyFill="1" applyBorder="1" applyAlignment="1">
      <alignment horizontal="center" vertical="center" wrapText="1"/>
    </xf>
    <xf numFmtId="168" fontId="9" fillId="27" borderId="10" xfId="0" applyNumberFormat="1" applyFont="1" applyFill="1" applyBorder="1" applyAlignment="1">
      <alignment horizontal="center" vertical="center" wrapText="1"/>
    </xf>
    <xf numFmtId="168" fontId="9" fillId="25" borderId="10" xfId="37" applyNumberFormat="1" applyFont="1" applyFill="1" applyBorder="1" applyAlignment="1">
      <alignment horizontal="center" vertical="center"/>
    </xf>
    <xf numFmtId="168" fontId="9" fillId="25" borderId="10" xfId="37" applyNumberFormat="1" applyFont="1" applyFill="1" applyBorder="1" applyAlignment="1">
      <alignment horizontal="center" vertical="center" wrapText="1"/>
    </xf>
    <xf numFmtId="0" fontId="9" fillId="0" borderId="10" xfId="37" applyFont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39" fillId="0" borderId="10" xfId="37" applyFont="1" applyFill="1" applyBorder="1" applyAlignment="1">
      <alignment horizontal="center" vertical="center" wrapText="1"/>
    </xf>
    <xf numFmtId="0" fontId="39" fillId="0" borderId="10" xfId="37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0" fontId="9" fillId="26" borderId="10" xfId="37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 wrapText="1"/>
    </xf>
    <xf numFmtId="0" fontId="9" fillId="26" borderId="10" xfId="37" applyFont="1" applyFill="1" applyBorder="1" applyAlignment="1">
      <alignment horizontal="center" vertical="center" wrapText="1"/>
    </xf>
    <xf numFmtId="0" fontId="9" fillId="25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169" fontId="9" fillId="26" borderId="10" xfId="37" applyNumberFormat="1" applyFont="1" applyFill="1" applyBorder="1" applyAlignment="1">
      <alignment horizontal="center" vertical="center" wrapText="1"/>
    </xf>
    <xf numFmtId="169" fontId="9" fillId="0" borderId="10" xfId="37" applyNumberFormat="1" applyFont="1" applyFill="1" applyBorder="1" applyAlignment="1">
      <alignment horizontal="center" vertical="center" wrapText="1"/>
    </xf>
    <xf numFmtId="165" fontId="9" fillId="27" borderId="10" xfId="37" applyNumberFormat="1" applyFont="1" applyFill="1" applyBorder="1" applyAlignment="1">
      <alignment horizontal="center" vertical="center" wrapText="1"/>
    </xf>
    <xf numFmtId="165" fontId="9" fillId="26" borderId="10" xfId="37" applyNumberFormat="1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 wrapText="1"/>
    </xf>
    <xf numFmtId="169" fontId="9" fillId="25" borderId="10" xfId="37" applyNumberFormat="1" applyFont="1" applyFill="1" applyBorder="1" applyAlignment="1">
      <alignment horizontal="center" vertical="center" wrapText="1"/>
    </xf>
    <xf numFmtId="169" fontId="9" fillId="27" borderId="10" xfId="37" applyNumberFormat="1" applyFont="1" applyFill="1" applyBorder="1" applyAlignment="1">
      <alignment horizontal="center" vertical="center" wrapText="1"/>
    </xf>
    <xf numFmtId="165" fontId="39" fillId="24" borderId="10" xfId="37" applyNumberFormat="1" applyFont="1" applyFill="1" applyBorder="1" applyAlignment="1">
      <alignment horizontal="center" vertical="center" wrapText="1"/>
    </xf>
    <xf numFmtId="0" fontId="39" fillId="24" borderId="10" xfId="37" applyFont="1" applyFill="1" applyBorder="1" applyAlignment="1">
      <alignment horizontal="center" vertical="center" wrapText="1"/>
    </xf>
    <xf numFmtId="169" fontId="39" fillId="0" borderId="10" xfId="37" applyNumberFormat="1" applyFont="1" applyFill="1" applyBorder="1" applyAlignment="1">
      <alignment horizontal="center" vertical="center" wrapText="1"/>
    </xf>
    <xf numFmtId="0" fontId="39" fillId="0" borderId="0" xfId="37" applyFont="1"/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  <xf numFmtId="49" fontId="40" fillId="0" borderId="10" xfId="0" applyNumberFormat="1" applyFont="1" applyFill="1" applyBorder="1" applyAlignment="1" applyProtection="1">
      <alignment horizontal="left" vertical="center" wrapText="1"/>
    </xf>
    <xf numFmtId="168" fontId="9" fillId="0" borderId="10" xfId="0" applyNumberFormat="1" applyFont="1" applyFill="1" applyBorder="1" applyAlignment="1">
      <alignment horizontal="center" vertical="center" wrapText="1"/>
    </xf>
    <xf numFmtId="165" fontId="40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9" fillId="25" borderId="10" xfId="37" applyNumberFormat="1" applyFont="1" applyFill="1" applyBorder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9" fillId="0" borderId="12" xfId="37" applyFont="1" applyFill="1" applyBorder="1" applyAlignment="1">
      <alignment horizontal="center" vertical="center" wrapText="1"/>
    </xf>
    <xf numFmtId="0" fontId="39" fillId="0" borderId="17" xfId="37" applyFont="1" applyFill="1" applyBorder="1" applyAlignment="1">
      <alignment horizontal="center" vertical="center" wrapText="1"/>
    </xf>
    <xf numFmtId="0" fontId="39" fillId="0" borderId="15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</cellXfs>
  <cellStyles count="62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93"/>
  <sheetViews>
    <sheetView tabSelected="1" view="pageBreakPreview" topLeftCell="A15" zoomScale="70" zoomScaleSheetLayoutView="70" workbookViewId="0">
      <pane xSplit="3" ySplit="4" topLeftCell="D19" activePane="bottomRight" state="frozen"/>
      <selection activeCell="A15" sqref="A15"/>
      <selection pane="topRight" activeCell="D15" sqref="D15"/>
      <selection pane="bottomLeft" activeCell="A19" sqref="A19"/>
      <selection pane="bottomRight" activeCell="F19" sqref="F19"/>
    </sheetView>
  </sheetViews>
  <sheetFormatPr defaultRowHeight="15.75" x14ac:dyDescent="0.25"/>
  <cols>
    <col min="1" max="1" width="9.75" style="2" customWidth="1"/>
    <col min="2" max="2" width="32.75" style="2" customWidth="1"/>
    <col min="3" max="3" width="18.75" style="2" customWidth="1"/>
    <col min="4" max="6" width="18.75" style="8" customWidth="1"/>
    <col min="7" max="16" width="18.75" style="2" customWidth="1"/>
    <col min="17" max="17" width="18.75" style="8" customWidth="1"/>
    <col min="18" max="19" width="18.75" style="2" customWidth="1"/>
    <col min="20" max="20" width="40.75" style="2" customWidth="1"/>
    <col min="21" max="80" width="18.75" style="2" customWidth="1"/>
    <col min="81" max="16384" width="9" style="2"/>
  </cols>
  <sheetData>
    <row r="1" spans="1:23" ht="18.75" x14ac:dyDescent="0.25">
      <c r="T1" s="5" t="s">
        <v>42</v>
      </c>
      <c r="V1" s="1"/>
    </row>
    <row r="2" spans="1:23" ht="18.75" x14ac:dyDescent="0.3">
      <c r="T2" s="7" t="s">
        <v>0</v>
      </c>
      <c r="V2" s="1"/>
    </row>
    <row r="3" spans="1:23" ht="18.75" x14ac:dyDescent="0.3">
      <c r="T3" s="7" t="s">
        <v>45</v>
      </c>
      <c r="V3" s="1"/>
    </row>
    <row r="4" spans="1:23" s="4" customFormat="1" ht="18.75" x14ac:dyDescent="0.3">
      <c r="A4" s="111" t="s">
        <v>44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6"/>
      <c r="V4" s="16"/>
    </row>
    <row r="5" spans="1:23" s="4" customFormat="1" ht="18.75" x14ac:dyDescent="0.3">
      <c r="A5" s="112" t="s">
        <v>166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3"/>
      <c r="V5" s="13"/>
      <c r="W5" s="13"/>
    </row>
    <row r="6" spans="1:23" s="4" customFormat="1" ht="18.75" x14ac:dyDescent="0.3">
      <c r="A6" s="102"/>
      <c r="B6" s="102"/>
      <c r="C6" s="102"/>
      <c r="D6" s="15"/>
      <c r="E6" s="15"/>
      <c r="F6" s="15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5"/>
      <c r="R6" s="102"/>
      <c r="S6" s="102"/>
      <c r="T6" s="102"/>
      <c r="U6" s="14"/>
      <c r="V6" s="14"/>
    </row>
    <row r="7" spans="1:23" s="4" customFormat="1" ht="18.75" x14ac:dyDescent="0.3">
      <c r="A7" s="112" t="s">
        <v>49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3"/>
      <c r="V7" s="13"/>
    </row>
    <row r="8" spans="1:23" x14ac:dyDescent="0.25">
      <c r="A8" s="113" t="s">
        <v>9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6"/>
      <c r="V8" s="6"/>
    </row>
    <row r="9" spans="1:23" x14ac:dyDescent="0.25">
      <c r="A9" s="103"/>
      <c r="B9" s="103"/>
      <c r="C9" s="103"/>
      <c r="D9" s="11"/>
      <c r="E9" s="11"/>
      <c r="F9" s="11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1"/>
      <c r="R9" s="103"/>
      <c r="S9" s="103"/>
      <c r="T9" s="103"/>
      <c r="U9" s="10"/>
      <c r="V9" s="10"/>
    </row>
    <row r="10" spans="1:23" ht="18.75" x14ac:dyDescent="0.3">
      <c r="A10" s="114" t="s">
        <v>149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7"/>
      <c r="V10" s="17"/>
    </row>
    <row r="11" spans="1:23" ht="18.75" x14ac:dyDescent="0.3">
      <c r="V11" s="7"/>
    </row>
    <row r="12" spans="1:23" ht="18.75" x14ac:dyDescent="0.25">
      <c r="A12" s="110" t="s">
        <v>50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8"/>
      <c r="V12" s="18"/>
    </row>
    <row r="13" spans="1:23" x14ac:dyDescent="0.25">
      <c r="A13" s="113" t="s">
        <v>14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6"/>
      <c r="V13" s="6"/>
    </row>
    <row r="14" spans="1:23" ht="18.75" x14ac:dyDescent="0.3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6"/>
      <c r="V14" s="16"/>
    </row>
    <row r="15" spans="1:23" ht="113.25" customHeight="1" x14ac:dyDescent="0.25">
      <c r="A15" s="117" t="s">
        <v>8</v>
      </c>
      <c r="B15" s="117" t="s">
        <v>6</v>
      </c>
      <c r="C15" s="117" t="s">
        <v>1</v>
      </c>
      <c r="D15" s="120" t="s">
        <v>46</v>
      </c>
      <c r="E15" s="120" t="s">
        <v>151</v>
      </c>
      <c r="F15" s="120" t="s">
        <v>152</v>
      </c>
      <c r="G15" s="115" t="s">
        <v>150</v>
      </c>
      <c r="H15" s="126"/>
      <c r="I15" s="126"/>
      <c r="J15" s="126"/>
      <c r="K15" s="126"/>
      <c r="L15" s="126"/>
      <c r="M15" s="126"/>
      <c r="N15" s="126"/>
      <c r="O15" s="126"/>
      <c r="P15" s="116"/>
      <c r="Q15" s="120" t="s">
        <v>47</v>
      </c>
      <c r="R15" s="115" t="s">
        <v>41</v>
      </c>
      <c r="S15" s="116"/>
      <c r="T15" s="117" t="s">
        <v>2</v>
      </c>
      <c r="U15" s="4"/>
      <c r="V15" s="4"/>
    </row>
    <row r="16" spans="1:23" x14ac:dyDescent="0.25">
      <c r="A16" s="118"/>
      <c r="B16" s="118"/>
      <c r="C16" s="118"/>
      <c r="D16" s="121"/>
      <c r="E16" s="121"/>
      <c r="F16" s="121"/>
      <c r="G16" s="115" t="s">
        <v>7</v>
      </c>
      <c r="H16" s="116"/>
      <c r="I16" s="115" t="s">
        <v>10</v>
      </c>
      <c r="J16" s="116"/>
      <c r="K16" s="115" t="s">
        <v>11</v>
      </c>
      <c r="L16" s="116"/>
      <c r="M16" s="115" t="s">
        <v>12</v>
      </c>
      <c r="N16" s="116"/>
      <c r="O16" s="115" t="s">
        <v>13</v>
      </c>
      <c r="P16" s="116"/>
      <c r="Q16" s="121"/>
      <c r="R16" s="117" t="s">
        <v>48</v>
      </c>
      <c r="S16" s="117" t="s">
        <v>3</v>
      </c>
      <c r="T16" s="118"/>
    </row>
    <row r="17" spans="1:20" x14ac:dyDescent="0.25">
      <c r="A17" s="119"/>
      <c r="B17" s="119"/>
      <c r="C17" s="119"/>
      <c r="D17" s="122"/>
      <c r="E17" s="122"/>
      <c r="F17" s="122"/>
      <c r="G17" s="104" t="s">
        <v>4</v>
      </c>
      <c r="H17" s="104" t="s">
        <v>5</v>
      </c>
      <c r="I17" s="104" t="s">
        <v>4</v>
      </c>
      <c r="J17" s="104" t="s">
        <v>5</v>
      </c>
      <c r="K17" s="104" t="s">
        <v>4</v>
      </c>
      <c r="L17" s="104" t="s">
        <v>5</v>
      </c>
      <c r="M17" s="104" t="s">
        <v>4</v>
      </c>
      <c r="N17" s="104" t="s">
        <v>5</v>
      </c>
      <c r="O17" s="104" t="s">
        <v>4</v>
      </c>
      <c r="P17" s="104" t="s">
        <v>5</v>
      </c>
      <c r="Q17" s="122"/>
      <c r="R17" s="119"/>
      <c r="S17" s="119"/>
      <c r="T17" s="119"/>
    </row>
    <row r="18" spans="1:20" x14ac:dyDescent="0.25">
      <c r="A18" s="104">
        <v>1</v>
      </c>
      <c r="B18" s="104">
        <f t="shared" ref="B18:T18" si="0">A18+1</f>
        <v>2</v>
      </c>
      <c r="C18" s="104">
        <f t="shared" si="0"/>
        <v>3</v>
      </c>
      <c r="D18" s="12">
        <f t="shared" si="0"/>
        <v>4</v>
      </c>
      <c r="E18" s="12">
        <f t="shared" si="0"/>
        <v>5</v>
      </c>
      <c r="F18" s="12">
        <f t="shared" si="0"/>
        <v>6</v>
      </c>
      <c r="G18" s="104">
        <f t="shared" si="0"/>
        <v>7</v>
      </c>
      <c r="H18" s="104">
        <f t="shared" si="0"/>
        <v>8</v>
      </c>
      <c r="I18" s="104">
        <f t="shared" si="0"/>
        <v>9</v>
      </c>
      <c r="J18" s="104">
        <f t="shared" si="0"/>
        <v>10</v>
      </c>
      <c r="K18" s="104">
        <f t="shared" si="0"/>
        <v>11</v>
      </c>
      <c r="L18" s="104">
        <f t="shared" si="0"/>
        <v>12</v>
      </c>
      <c r="M18" s="104">
        <f t="shared" si="0"/>
        <v>13</v>
      </c>
      <c r="N18" s="104">
        <f t="shared" si="0"/>
        <v>14</v>
      </c>
      <c r="O18" s="104">
        <f t="shared" si="0"/>
        <v>15</v>
      </c>
      <c r="P18" s="104">
        <f t="shared" si="0"/>
        <v>16</v>
      </c>
      <c r="Q18" s="12">
        <f t="shared" si="0"/>
        <v>17</v>
      </c>
      <c r="R18" s="104">
        <f t="shared" si="0"/>
        <v>18</v>
      </c>
      <c r="S18" s="104">
        <f t="shared" si="0"/>
        <v>19</v>
      </c>
      <c r="T18" s="104">
        <f t="shared" si="0"/>
        <v>20</v>
      </c>
    </row>
    <row r="19" spans="1:20" ht="31.5" x14ac:dyDescent="0.25">
      <c r="A19" s="23">
        <v>0</v>
      </c>
      <c r="B19" s="24" t="s">
        <v>15</v>
      </c>
      <c r="C19" s="25" t="s">
        <v>51</v>
      </c>
      <c r="D19" s="69">
        <f t="shared" ref="D19:E19" si="1">D20+D21+D22+D23+D24+D25</f>
        <v>142.57387804999999</v>
      </c>
      <c r="E19" s="69">
        <f t="shared" si="1"/>
        <v>31.908544759999998</v>
      </c>
      <c r="F19" s="69">
        <f>F20+F21+F22+F23+F24+F25</f>
        <v>112.98520825</v>
      </c>
      <c r="G19" s="69">
        <f t="shared" ref="G19:Q19" si="2">G20+G21+G22+G23+G24+G25</f>
        <v>22.081000000000003</v>
      </c>
      <c r="H19" s="69">
        <f t="shared" si="2"/>
        <v>31.930654169999997</v>
      </c>
      <c r="I19" s="69">
        <f t="shared" si="2"/>
        <v>3.1060000000000003</v>
      </c>
      <c r="J19" s="69">
        <f t="shared" si="2"/>
        <v>1.48319998</v>
      </c>
      <c r="K19" s="69">
        <f t="shared" si="2"/>
        <v>7.0730000000000004</v>
      </c>
      <c r="L19" s="69">
        <f t="shared" si="2"/>
        <v>26.675842020000005</v>
      </c>
      <c r="M19" s="69">
        <f t="shared" si="2"/>
        <v>8.7940000000000005</v>
      </c>
      <c r="N19" s="69">
        <f t="shared" si="2"/>
        <v>3.77161217</v>
      </c>
      <c r="O19" s="69">
        <f t="shared" si="2"/>
        <v>3.1080000000000001</v>
      </c>
      <c r="P19" s="69">
        <f t="shared" si="2"/>
        <v>0</v>
      </c>
      <c r="Q19" s="69">
        <f t="shared" si="2"/>
        <v>81.054554080000003</v>
      </c>
      <c r="R19" s="90">
        <f>R20+R21+R22+R23+R24+R25</f>
        <v>12.957654169999998</v>
      </c>
      <c r="S19" s="92">
        <f>R19/G19*100</f>
        <v>58.682370227797634</v>
      </c>
      <c r="T19" s="82" t="s">
        <v>127</v>
      </c>
    </row>
    <row r="20" spans="1:20" ht="31.5" x14ac:dyDescent="0.25">
      <c r="A20" s="26" t="s">
        <v>52</v>
      </c>
      <c r="B20" s="27" t="s">
        <v>53</v>
      </c>
      <c r="C20" s="28" t="s">
        <v>51</v>
      </c>
      <c r="D20" s="70">
        <f t="shared" ref="D20:S20" si="3">D27</f>
        <v>75.743878049999992</v>
      </c>
      <c r="E20" s="70">
        <f t="shared" si="3"/>
        <v>26.54954476</v>
      </c>
      <c r="F20" s="70">
        <f t="shared" si="3"/>
        <v>51.514208249999996</v>
      </c>
      <c r="G20" s="70">
        <f t="shared" si="3"/>
        <v>0</v>
      </c>
      <c r="H20" s="74">
        <f t="shared" si="3"/>
        <v>19.055225059999998</v>
      </c>
      <c r="I20" s="70">
        <f t="shared" si="3"/>
        <v>0</v>
      </c>
      <c r="J20" s="70">
        <f t="shared" si="3"/>
        <v>1.11569998</v>
      </c>
      <c r="K20" s="70">
        <f t="shared" si="3"/>
        <v>0</v>
      </c>
      <c r="L20" s="70">
        <f t="shared" si="3"/>
        <v>17.251817550000002</v>
      </c>
      <c r="M20" s="70">
        <f t="shared" si="3"/>
        <v>0</v>
      </c>
      <c r="N20" s="70">
        <f t="shared" si="3"/>
        <v>0.68770752999999996</v>
      </c>
      <c r="O20" s="70">
        <f t="shared" si="3"/>
        <v>0</v>
      </c>
      <c r="P20" s="70">
        <f t="shared" si="3"/>
        <v>0</v>
      </c>
      <c r="Q20" s="70">
        <f t="shared" si="3"/>
        <v>32.458983190000005</v>
      </c>
      <c r="R20" s="90">
        <f t="shared" si="3"/>
        <v>19.055225059999998</v>
      </c>
      <c r="S20" s="92">
        <f t="shared" si="3"/>
        <v>0</v>
      </c>
      <c r="T20" s="21" t="str">
        <f t="shared" ref="T20" si="4">T27</f>
        <v>нд</v>
      </c>
    </row>
    <row r="21" spans="1:20" ht="31.5" x14ac:dyDescent="0.25">
      <c r="A21" s="26" t="s">
        <v>54</v>
      </c>
      <c r="B21" s="27" t="s">
        <v>55</v>
      </c>
      <c r="C21" s="28" t="s">
        <v>51</v>
      </c>
      <c r="D21" s="70">
        <f t="shared" ref="D21:S21" si="5">D48</f>
        <v>33.228000000000002</v>
      </c>
      <c r="E21" s="70">
        <f t="shared" si="5"/>
        <v>0.15</v>
      </c>
      <c r="F21" s="70">
        <f t="shared" si="5"/>
        <v>33.078000000000003</v>
      </c>
      <c r="G21" s="70">
        <f t="shared" si="5"/>
        <v>16.394000000000002</v>
      </c>
      <c r="H21" s="74">
        <f t="shared" si="5"/>
        <v>0</v>
      </c>
      <c r="I21" s="70">
        <f t="shared" si="5"/>
        <v>3.1060000000000003</v>
      </c>
      <c r="J21" s="70">
        <f t="shared" si="5"/>
        <v>0</v>
      </c>
      <c r="K21" s="70">
        <f t="shared" si="5"/>
        <v>7.0730000000000004</v>
      </c>
      <c r="L21" s="70">
        <f t="shared" si="5"/>
        <v>0</v>
      </c>
      <c r="M21" s="70">
        <f t="shared" si="5"/>
        <v>3.1070000000000002</v>
      </c>
      <c r="N21" s="70">
        <f t="shared" si="5"/>
        <v>0</v>
      </c>
      <c r="O21" s="70">
        <f t="shared" si="5"/>
        <v>3.1080000000000001</v>
      </c>
      <c r="P21" s="70">
        <f t="shared" si="5"/>
        <v>0</v>
      </c>
      <c r="Q21" s="70">
        <f t="shared" si="5"/>
        <v>33.078000000000003</v>
      </c>
      <c r="R21" s="90">
        <f t="shared" si="5"/>
        <v>-13.286000000000001</v>
      </c>
      <c r="S21" s="92">
        <f t="shared" si="5"/>
        <v>-81.041844577284365</v>
      </c>
      <c r="T21" s="21" t="str">
        <f t="shared" ref="T21" si="6">T48</f>
        <v>нд</v>
      </c>
    </row>
    <row r="22" spans="1:20" ht="78.75" x14ac:dyDescent="0.25">
      <c r="A22" s="27" t="s">
        <v>56</v>
      </c>
      <c r="B22" s="27" t="s">
        <v>57</v>
      </c>
      <c r="C22" s="29" t="s">
        <v>51</v>
      </c>
      <c r="D22" s="70">
        <f t="shared" ref="D22:S22" si="7">D71</f>
        <v>0</v>
      </c>
      <c r="E22" s="70">
        <f t="shared" si="7"/>
        <v>0</v>
      </c>
      <c r="F22" s="70">
        <f t="shared" si="7"/>
        <v>0</v>
      </c>
      <c r="G22" s="70">
        <f t="shared" si="7"/>
        <v>0</v>
      </c>
      <c r="H22" s="74">
        <f t="shared" si="7"/>
        <v>0</v>
      </c>
      <c r="I22" s="70">
        <f t="shared" si="7"/>
        <v>0</v>
      </c>
      <c r="J22" s="70">
        <f t="shared" si="7"/>
        <v>0</v>
      </c>
      <c r="K22" s="70">
        <f t="shared" si="7"/>
        <v>0</v>
      </c>
      <c r="L22" s="70">
        <f t="shared" si="7"/>
        <v>0</v>
      </c>
      <c r="M22" s="70">
        <f t="shared" si="7"/>
        <v>0</v>
      </c>
      <c r="N22" s="70">
        <f t="shared" si="7"/>
        <v>0</v>
      </c>
      <c r="O22" s="70">
        <f t="shared" si="7"/>
        <v>0</v>
      </c>
      <c r="P22" s="70">
        <f t="shared" si="7"/>
        <v>0</v>
      </c>
      <c r="Q22" s="70">
        <f t="shared" si="7"/>
        <v>0</v>
      </c>
      <c r="R22" s="90">
        <f t="shared" si="7"/>
        <v>0</v>
      </c>
      <c r="S22" s="92">
        <f t="shared" si="7"/>
        <v>0</v>
      </c>
      <c r="T22" s="21" t="str">
        <f t="shared" ref="T22" si="8">T71</f>
        <v>нд</v>
      </c>
    </row>
    <row r="23" spans="1:20" ht="47.25" x14ac:dyDescent="0.25">
      <c r="A23" s="26" t="s">
        <v>58</v>
      </c>
      <c r="B23" s="27" t="s">
        <v>59</v>
      </c>
      <c r="C23" s="28" t="s">
        <v>51</v>
      </c>
      <c r="D23" s="70">
        <f t="shared" ref="D23:S25" si="9">D74</f>
        <v>0</v>
      </c>
      <c r="E23" s="70">
        <f t="shared" si="9"/>
        <v>0</v>
      </c>
      <c r="F23" s="70">
        <f t="shared" si="9"/>
        <v>0</v>
      </c>
      <c r="G23" s="70">
        <f t="shared" si="9"/>
        <v>0</v>
      </c>
      <c r="H23" s="74">
        <f t="shared" si="9"/>
        <v>0</v>
      </c>
      <c r="I23" s="70">
        <f t="shared" si="9"/>
        <v>0</v>
      </c>
      <c r="J23" s="70">
        <f t="shared" si="9"/>
        <v>0</v>
      </c>
      <c r="K23" s="70">
        <f t="shared" si="9"/>
        <v>0</v>
      </c>
      <c r="L23" s="70">
        <f t="shared" si="9"/>
        <v>0</v>
      </c>
      <c r="M23" s="70">
        <f t="shared" si="9"/>
        <v>0</v>
      </c>
      <c r="N23" s="70">
        <f t="shared" si="9"/>
        <v>0</v>
      </c>
      <c r="O23" s="70">
        <f t="shared" si="9"/>
        <v>0</v>
      </c>
      <c r="P23" s="70">
        <f t="shared" si="9"/>
        <v>0</v>
      </c>
      <c r="Q23" s="70">
        <f t="shared" si="9"/>
        <v>0</v>
      </c>
      <c r="R23" s="90">
        <f t="shared" si="9"/>
        <v>0</v>
      </c>
      <c r="S23" s="92">
        <f t="shared" si="9"/>
        <v>0</v>
      </c>
      <c r="T23" s="21" t="str">
        <f t="shared" ref="T23:T25" si="10">T74</f>
        <v>нд</v>
      </c>
    </row>
    <row r="24" spans="1:20" ht="47.25" x14ac:dyDescent="0.25">
      <c r="A24" s="27" t="s">
        <v>60</v>
      </c>
      <c r="B24" s="27" t="s">
        <v>61</v>
      </c>
      <c r="C24" s="29" t="s">
        <v>51</v>
      </c>
      <c r="D24" s="70">
        <f t="shared" si="9"/>
        <v>0</v>
      </c>
      <c r="E24" s="70">
        <f t="shared" si="9"/>
        <v>0</v>
      </c>
      <c r="F24" s="70">
        <f t="shared" si="9"/>
        <v>0</v>
      </c>
      <c r="G24" s="70">
        <f t="shared" si="9"/>
        <v>0</v>
      </c>
      <c r="H24" s="74">
        <f t="shared" si="9"/>
        <v>0</v>
      </c>
      <c r="I24" s="70">
        <f t="shared" si="9"/>
        <v>0</v>
      </c>
      <c r="J24" s="70">
        <f t="shared" si="9"/>
        <v>0</v>
      </c>
      <c r="K24" s="70">
        <f t="shared" si="9"/>
        <v>0</v>
      </c>
      <c r="L24" s="70">
        <f t="shared" si="9"/>
        <v>0</v>
      </c>
      <c r="M24" s="70">
        <f t="shared" si="9"/>
        <v>0</v>
      </c>
      <c r="N24" s="70">
        <f t="shared" si="9"/>
        <v>0</v>
      </c>
      <c r="O24" s="70">
        <f t="shared" si="9"/>
        <v>0</v>
      </c>
      <c r="P24" s="70">
        <f t="shared" si="9"/>
        <v>0</v>
      </c>
      <c r="Q24" s="70">
        <f t="shared" si="9"/>
        <v>0</v>
      </c>
      <c r="R24" s="90">
        <f t="shared" si="9"/>
        <v>0</v>
      </c>
      <c r="S24" s="92">
        <f t="shared" si="9"/>
        <v>0</v>
      </c>
      <c r="T24" s="21" t="str">
        <f t="shared" si="10"/>
        <v>нд</v>
      </c>
    </row>
    <row r="25" spans="1:20" ht="31.5" x14ac:dyDescent="0.25">
      <c r="A25" s="26" t="s">
        <v>62</v>
      </c>
      <c r="B25" s="27" t="s">
        <v>63</v>
      </c>
      <c r="C25" s="28" t="s">
        <v>51</v>
      </c>
      <c r="D25" s="70">
        <f t="shared" si="9"/>
        <v>33.601999999999997</v>
      </c>
      <c r="E25" s="70">
        <f t="shared" si="9"/>
        <v>5.2089999999999996</v>
      </c>
      <c r="F25" s="70">
        <f t="shared" si="9"/>
        <v>28.392999999999997</v>
      </c>
      <c r="G25" s="70">
        <f t="shared" si="9"/>
        <v>5.6870000000000003</v>
      </c>
      <c r="H25" s="74">
        <f t="shared" si="9"/>
        <v>12.875429110000001</v>
      </c>
      <c r="I25" s="70">
        <f t="shared" si="9"/>
        <v>0</v>
      </c>
      <c r="J25" s="70">
        <f t="shared" si="9"/>
        <v>0.36749999999999999</v>
      </c>
      <c r="K25" s="70">
        <f t="shared" si="9"/>
        <v>0</v>
      </c>
      <c r="L25" s="70">
        <f t="shared" si="9"/>
        <v>9.4240244700000009</v>
      </c>
      <c r="M25" s="70">
        <f t="shared" si="9"/>
        <v>5.6870000000000003</v>
      </c>
      <c r="N25" s="70">
        <f t="shared" si="9"/>
        <v>3.0839046400000001</v>
      </c>
      <c r="O25" s="70">
        <f t="shared" si="9"/>
        <v>0</v>
      </c>
      <c r="P25" s="70">
        <f t="shared" si="9"/>
        <v>0</v>
      </c>
      <c r="Q25" s="70">
        <f t="shared" si="9"/>
        <v>15.51757089</v>
      </c>
      <c r="R25" s="90">
        <f t="shared" si="9"/>
        <v>7.1884291100000004</v>
      </c>
      <c r="S25" s="92">
        <f t="shared" si="9"/>
        <v>126.40107455600493</v>
      </c>
      <c r="T25" s="21" t="str">
        <f t="shared" si="10"/>
        <v>нд</v>
      </c>
    </row>
    <row r="26" spans="1:20" x14ac:dyDescent="0.25">
      <c r="A26" s="23" t="s">
        <v>64</v>
      </c>
      <c r="B26" s="24" t="s">
        <v>65</v>
      </c>
      <c r="C26" s="30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104"/>
      <c r="S26" s="104"/>
      <c r="T26" s="83"/>
    </row>
    <row r="27" spans="1:20" ht="31.5" x14ac:dyDescent="0.25">
      <c r="A27" s="31" t="s">
        <v>16</v>
      </c>
      <c r="B27" s="32" t="s">
        <v>66</v>
      </c>
      <c r="C27" s="33" t="s">
        <v>51</v>
      </c>
      <c r="D27" s="72">
        <f t="shared" ref="D27:S27" si="11">D28+D32+D35+D36</f>
        <v>75.743878049999992</v>
      </c>
      <c r="E27" s="72">
        <f t="shared" si="11"/>
        <v>26.54954476</v>
      </c>
      <c r="F27" s="72">
        <f t="shared" si="11"/>
        <v>51.514208249999996</v>
      </c>
      <c r="G27" s="72">
        <f t="shared" si="11"/>
        <v>0</v>
      </c>
      <c r="H27" s="72">
        <f t="shared" si="11"/>
        <v>19.055225059999998</v>
      </c>
      <c r="I27" s="72">
        <f t="shared" si="11"/>
        <v>0</v>
      </c>
      <c r="J27" s="72">
        <f t="shared" si="11"/>
        <v>1.11569998</v>
      </c>
      <c r="K27" s="72">
        <f t="shared" si="11"/>
        <v>0</v>
      </c>
      <c r="L27" s="72">
        <f t="shared" si="11"/>
        <v>17.251817550000002</v>
      </c>
      <c r="M27" s="72">
        <f t="shared" si="11"/>
        <v>0</v>
      </c>
      <c r="N27" s="72">
        <f t="shared" si="11"/>
        <v>0.68770752999999996</v>
      </c>
      <c r="O27" s="72">
        <f t="shared" si="11"/>
        <v>0</v>
      </c>
      <c r="P27" s="72">
        <f t="shared" si="11"/>
        <v>0</v>
      </c>
      <c r="Q27" s="72">
        <f t="shared" si="11"/>
        <v>32.458983190000005</v>
      </c>
      <c r="R27" s="95">
        <f t="shared" si="11"/>
        <v>19.055225059999998</v>
      </c>
      <c r="S27" s="96">
        <f t="shared" si="11"/>
        <v>0</v>
      </c>
      <c r="T27" s="84" t="s">
        <v>127</v>
      </c>
    </row>
    <row r="28" spans="1:20" ht="47.25" x14ac:dyDescent="0.25">
      <c r="A28" s="34" t="s">
        <v>17</v>
      </c>
      <c r="B28" s="32" t="s">
        <v>67</v>
      </c>
      <c r="C28" s="35" t="s">
        <v>51</v>
      </c>
      <c r="D28" s="72">
        <f t="shared" ref="D28:S28" si="12">D29+D30+D31</f>
        <v>0</v>
      </c>
      <c r="E28" s="72">
        <f t="shared" si="12"/>
        <v>0</v>
      </c>
      <c r="F28" s="72">
        <f t="shared" si="12"/>
        <v>0</v>
      </c>
      <c r="G28" s="72">
        <f t="shared" si="12"/>
        <v>0</v>
      </c>
      <c r="H28" s="72">
        <f t="shared" si="12"/>
        <v>0</v>
      </c>
      <c r="I28" s="72">
        <f t="shared" si="12"/>
        <v>0</v>
      </c>
      <c r="J28" s="72">
        <f t="shared" si="12"/>
        <v>0</v>
      </c>
      <c r="K28" s="72">
        <f t="shared" si="12"/>
        <v>0</v>
      </c>
      <c r="L28" s="72">
        <f t="shared" si="12"/>
        <v>0</v>
      </c>
      <c r="M28" s="72">
        <f t="shared" si="12"/>
        <v>0</v>
      </c>
      <c r="N28" s="72">
        <f t="shared" si="12"/>
        <v>0</v>
      </c>
      <c r="O28" s="72">
        <f t="shared" si="12"/>
        <v>0</v>
      </c>
      <c r="P28" s="72">
        <f t="shared" si="12"/>
        <v>0</v>
      </c>
      <c r="Q28" s="72">
        <f t="shared" si="12"/>
        <v>0</v>
      </c>
      <c r="R28" s="95">
        <f t="shared" si="12"/>
        <v>0</v>
      </c>
      <c r="S28" s="96">
        <f t="shared" si="12"/>
        <v>0</v>
      </c>
      <c r="T28" s="84" t="s">
        <v>127</v>
      </c>
    </row>
    <row r="29" spans="1:20" ht="78.75" x14ac:dyDescent="0.25">
      <c r="A29" s="36" t="s">
        <v>18</v>
      </c>
      <c r="B29" s="37" t="s">
        <v>68</v>
      </c>
      <c r="C29" s="38" t="s">
        <v>51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3">
        <v>0</v>
      </c>
      <c r="R29" s="94">
        <v>0</v>
      </c>
      <c r="S29" s="91">
        <v>0</v>
      </c>
      <c r="T29" s="85" t="s">
        <v>127</v>
      </c>
    </row>
    <row r="30" spans="1:20" ht="78.75" x14ac:dyDescent="0.25">
      <c r="A30" s="36" t="s">
        <v>19</v>
      </c>
      <c r="B30" s="37" t="s">
        <v>69</v>
      </c>
      <c r="C30" s="39" t="s">
        <v>51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3">
        <v>0</v>
      </c>
      <c r="R30" s="94">
        <v>0</v>
      </c>
      <c r="S30" s="91">
        <v>0</v>
      </c>
      <c r="T30" s="85" t="s">
        <v>127</v>
      </c>
    </row>
    <row r="31" spans="1:20" ht="63" x14ac:dyDescent="0.25">
      <c r="A31" s="36" t="s">
        <v>20</v>
      </c>
      <c r="B31" s="37" t="s">
        <v>70</v>
      </c>
      <c r="C31" s="39" t="s">
        <v>51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3">
        <v>0</v>
      </c>
      <c r="R31" s="94">
        <v>0</v>
      </c>
      <c r="S31" s="91">
        <v>0</v>
      </c>
      <c r="T31" s="85" t="s">
        <v>127</v>
      </c>
    </row>
    <row r="32" spans="1:20" ht="47.25" x14ac:dyDescent="0.25">
      <c r="A32" s="34" t="s">
        <v>21</v>
      </c>
      <c r="B32" s="32" t="s">
        <v>71</v>
      </c>
      <c r="C32" s="35" t="s">
        <v>51</v>
      </c>
      <c r="D32" s="72">
        <f t="shared" ref="D32:Q32" si="13">D33+D34</f>
        <v>0</v>
      </c>
      <c r="E32" s="72">
        <f t="shared" si="13"/>
        <v>0</v>
      </c>
      <c r="F32" s="72">
        <f t="shared" si="13"/>
        <v>0</v>
      </c>
      <c r="G32" s="72">
        <f t="shared" si="13"/>
        <v>0</v>
      </c>
      <c r="H32" s="72">
        <f t="shared" si="13"/>
        <v>0</v>
      </c>
      <c r="I32" s="72">
        <f t="shared" si="13"/>
        <v>0</v>
      </c>
      <c r="J32" s="72">
        <f t="shared" si="13"/>
        <v>0</v>
      </c>
      <c r="K32" s="72">
        <f t="shared" si="13"/>
        <v>0</v>
      </c>
      <c r="L32" s="72">
        <f t="shared" si="13"/>
        <v>0</v>
      </c>
      <c r="M32" s="72">
        <f t="shared" si="13"/>
        <v>0</v>
      </c>
      <c r="N32" s="72">
        <f t="shared" si="13"/>
        <v>0</v>
      </c>
      <c r="O32" s="72">
        <f t="shared" si="13"/>
        <v>0</v>
      </c>
      <c r="P32" s="72">
        <f t="shared" si="13"/>
        <v>0</v>
      </c>
      <c r="Q32" s="72">
        <f t="shared" si="13"/>
        <v>0</v>
      </c>
      <c r="R32" s="95">
        <v>0</v>
      </c>
      <c r="S32" s="96">
        <v>0</v>
      </c>
      <c r="T32" s="84" t="s">
        <v>127</v>
      </c>
    </row>
    <row r="33" spans="1:20" ht="78.75" x14ac:dyDescent="0.25">
      <c r="A33" s="36" t="s">
        <v>39</v>
      </c>
      <c r="B33" s="37" t="s">
        <v>72</v>
      </c>
      <c r="C33" s="39" t="s">
        <v>51</v>
      </c>
      <c r="D33" s="73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3">
        <v>0</v>
      </c>
      <c r="R33" s="94">
        <v>0</v>
      </c>
      <c r="S33" s="91">
        <v>0</v>
      </c>
      <c r="T33" s="85" t="s">
        <v>127</v>
      </c>
    </row>
    <row r="34" spans="1:20" ht="47.25" x14ac:dyDescent="0.25">
      <c r="A34" s="36" t="s">
        <v>40</v>
      </c>
      <c r="B34" s="37" t="s">
        <v>73</v>
      </c>
      <c r="C34" s="39" t="s">
        <v>51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94">
        <v>0</v>
      </c>
      <c r="S34" s="91">
        <v>0</v>
      </c>
      <c r="T34" s="85" t="s">
        <v>127</v>
      </c>
    </row>
    <row r="35" spans="1:20" ht="63" x14ac:dyDescent="0.25">
      <c r="A35" s="34" t="s">
        <v>22</v>
      </c>
      <c r="B35" s="32" t="s">
        <v>74</v>
      </c>
      <c r="C35" s="35" t="s">
        <v>51</v>
      </c>
      <c r="D35" s="72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95">
        <v>0</v>
      </c>
      <c r="S35" s="96">
        <v>0</v>
      </c>
      <c r="T35" s="84" t="s">
        <v>127</v>
      </c>
    </row>
    <row r="36" spans="1:20" ht="110.25" x14ac:dyDescent="0.25">
      <c r="A36" s="32" t="s">
        <v>75</v>
      </c>
      <c r="B36" s="32" t="s">
        <v>76</v>
      </c>
      <c r="C36" s="35" t="s">
        <v>51</v>
      </c>
      <c r="D36" s="72">
        <f t="shared" ref="D36:R36" si="14">D37+D47</f>
        <v>75.743878049999992</v>
      </c>
      <c r="E36" s="72">
        <f t="shared" si="14"/>
        <v>26.54954476</v>
      </c>
      <c r="F36" s="72">
        <f t="shared" si="14"/>
        <v>51.514208249999996</v>
      </c>
      <c r="G36" s="72">
        <f t="shared" si="14"/>
        <v>0</v>
      </c>
      <c r="H36" s="72">
        <f t="shared" si="14"/>
        <v>19.055225059999998</v>
      </c>
      <c r="I36" s="72">
        <f t="shared" si="14"/>
        <v>0</v>
      </c>
      <c r="J36" s="72">
        <f t="shared" si="14"/>
        <v>1.11569998</v>
      </c>
      <c r="K36" s="72">
        <f t="shared" si="14"/>
        <v>0</v>
      </c>
      <c r="L36" s="72">
        <f t="shared" si="14"/>
        <v>17.251817550000002</v>
      </c>
      <c r="M36" s="72">
        <f t="shared" si="14"/>
        <v>0</v>
      </c>
      <c r="N36" s="72">
        <f t="shared" si="14"/>
        <v>0.68770752999999996</v>
      </c>
      <c r="O36" s="72">
        <f t="shared" si="14"/>
        <v>0</v>
      </c>
      <c r="P36" s="72">
        <f t="shared" si="14"/>
        <v>0</v>
      </c>
      <c r="Q36" s="72">
        <f t="shared" si="14"/>
        <v>32.458983190000005</v>
      </c>
      <c r="R36" s="95">
        <f t="shared" si="14"/>
        <v>19.055225059999998</v>
      </c>
      <c r="S36" s="96">
        <v>0</v>
      </c>
      <c r="T36" s="84" t="s">
        <v>127</v>
      </c>
    </row>
    <row r="37" spans="1:20" ht="94.5" x14ac:dyDescent="0.25">
      <c r="A37" s="40" t="s">
        <v>77</v>
      </c>
      <c r="B37" s="37" t="s">
        <v>78</v>
      </c>
      <c r="C37" s="41" t="s">
        <v>51</v>
      </c>
      <c r="D37" s="73">
        <f t="shared" ref="D37:R37" si="15">SUM(D38:D46)</f>
        <v>75.743878049999992</v>
      </c>
      <c r="E37" s="73">
        <f t="shared" si="15"/>
        <v>26.54954476</v>
      </c>
      <c r="F37" s="73">
        <f t="shared" si="15"/>
        <v>51.514208249999996</v>
      </c>
      <c r="G37" s="73">
        <f t="shared" si="15"/>
        <v>0</v>
      </c>
      <c r="H37" s="73">
        <f t="shared" si="15"/>
        <v>19.055225059999998</v>
      </c>
      <c r="I37" s="73">
        <f t="shared" si="15"/>
        <v>0</v>
      </c>
      <c r="J37" s="73">
        <f t="shared" si="15"/>
        <v>1.11569998</v>
      </c>
      <c r="K37" s="73">
        <f t="shared" si="15"/>
        <v>0</v>
      </c>
      <c r="L37" s="73">
        <f t="shared" si="15"/>
        <v>17.251817550000002</v>
      </c>
      <c r="M37" s="73">
        <f t="shared" si="15"/>
        <v>0</v>
      </c>
      <c r="N37" s="73">
        <f t="shared" si="15"/>
        <v>0.68770752999999996</v>
      </c>
      <c r="O37" s="73">
        <f t="shared" si="15"/>
        <v>0</v>
      </c>
      <c r="P37" s="73">
        <f t="shared" si="15"/>
        <v>0</v>
      </c>
      <c r="Q37" s="73">
        <f t="shared" si="15"/>
        <v>32.458983190000005</v>
      </c>
      <c r="R37" s="94">
        <f t="shared" si="15"/>
        <v>19.055225059999998</v>
      </c>
      <c r="S37" s="91">
        <v>0</v>
      </c>
      <c r="T37" s="85" t="s">
        <v>127</v>
      </c>
    </row>
    <row r="38" spans="1:20" s="3" customFormat="1" ht="110.25" x14ac:dyDescent="0.25">
      <c r="A38" s="42" t="s">
        <v>77</v>
      </c>
      <c r="B38" s="106" t="s">
        <v>79</v>
      </c>
      <c r="C38" s="19" t="s">
        <v>80</v>
      </c>
      <c r="D38" s="74">
        <v>47.951999999999998</v>
      </c>
      <c r="E38" s="21">
        <f>14.386+1.225+2.273</f>
        <v>17.884</v>
      </c>
      <c r="F38" s="74">
        <f t="shared" ref="F38:F39" si="16">D38-E38</f>
        <v>30.067999999999998</v>
      </c>
      <c r="G38" s="74">
        <f t="shared" ref="G38:H46" si="17">I38+K38+M38+O38</f>
        <v>0</v>
      </c>
      <c r="H38" s="74">
        <f t="shared" si="17"/>
        <v>15</v>
      </c>
      <c r="I38" s="74">
        <v>0</v>
      </c>
      <c r="J38" s="74">
        <v>0</v>
      </c>
      <c r="K38" s="74">
        <v>0</v>
      </c>
      <c r="L38" s="108">
        <v>15</v>
      </c>
      <c r="M38" s="74">
        <v>0</v>
      </c>
      <c r="N38" s="74">
        <v>0</v>
      </c>
      <c r="O38" s="74">
        <v>0</v>
      </c>
      <c r="P38" s="108">
        <v>0</v>
      </c>
      <c r="Q38" s="74">
        <f>F38-H38</f>
        <v>15.067999999999998</v>
      </c>
      <c r="R38" s="90">
        <f t="shared" ref="R38:R40" si="18">H38-(I38+K38+M38+O38)</f>
        <v>15</v>
      </c>
      <c r="S38" s="92" t="s">
        <v>127</v>
      </c>
      <c r="T38" s="104" t="s">
        <v>165</v>
      </c>
    </row>
    <row r="39" spans="1:20" ht="110.25" x14ac:dyDescent="0.25">
      <c r="A39" s="42" t="s">
        <v>77</v>
      </c>
      <c r="B39" s="43" t="s">
        <v>81</v>
      </c>
      <c r="C39" s="19" t="s">
        <v>82</v>
      </c>
      <c r="D39" s="74">
        <v>8.7170000000000005</v>
      </c>
      <c r="E39" s="81">
        <f>2.572+0.218+0.166</f>
        <v>2.956</v>
      </c>
      <c r="F39" s="80">
        <f t="shared" si="16"/>
        <v>5.761000000000001</v>
      </c>
      <c r="G39" s="74">
        <f t="shared" si="17"/>
        <v>0</v>
      </c>
      <c r="H39" s="74">
        <f t="shared" si="17"/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P39" s="74">
        <v>0</v>
      </c>
      <c r="Q39" s="74">
        <f t="shared" ref="Q39:Q46" si="19">F39-H39</f>
        <v>5.761000000000001</v>
      </c>
      <c r="R39" s="90">
        <f t="shared" si="18"/>
        <v>0</v>
      </c>
      <c r="S39" s="92" t="s">
        <v>127</v>
      </c>
      <c r="T39" s="104" t="s">
        <v>163</v>
      </c>
    </row>
    <row r="40" spans="1:20" s="3" customFormat="1" ht="110.25" x14ac:dyDescent="0.25">
      <c r="A40" s="42" t="s">
        <v>77</v>
      </c>
      <c r="B40" s="43" t="s">
        <v>134</v>
      </c>
      <c r="C40" s="19" t="s">
        <v>132</v>
      </c>
      <c r="D40" s="74">
        <f>6967083/1000000</f>
        <v>6.9670829999999997</v>
      </c>
      <c r="E40" s="74">
        <f>0.129+2.09</f>
        <v>2.2189999999999999</v>
      </c>
      <c r="F40" s="74">
        <f>6967083/1000000-2090125.04/1000000</f>
        <v>4.8769579599999995</v>
      </c>
      <c r="G40" s="74">
        <f t="shared" si="17"/>
        <v>0</v>
      </c>
      <c r="H40" s="74">
        <f t="shared" si="17"/>
        <v>0.64093356999999995</v>
      </c>
      <c r="I40" s="74">
        <v>0</v>
      </c>
      <c r="J40" s="74">
        <f>232026.16/1000000</f>
        <v>0.23202616000000001</v>
      </c>
      <c r="K40" s="74">
        <v>0</v>
      </c>
      <c r="L40" s="108">
        <f>0.21867658</f>
        <v>0.21867658000000001</v>
      </c>
      <c r="M40" s="74">
        <v>0</v>
      </c>
      <c r="N40" s="74">
        <f>0.19023083</f>
        <v>0.19023082999999999</v>
      </c>
      <c r="O40" s="74">
        <v>0</v>
      </c>
      <c r="P40" s="108">
        <v>0</v>
      </c>
      <c r="Q40" s="74">
        <f t="shared" si="19"/>
        <v>4.2360243899999999</v>
      </c>
      <c r="R40" s="90">
        <f t="shared" si="18"/>
        <v>0.64093356999999995</v>
      </c>
      <c r="S40" s="92" t="s">
        <v>127</v>
      </c>
      <c r="T40" s="104" t="s">
        <v>136</v>
      </c>
    </row>
    <row r="41" spans="1:20" s="3" customFormat="1" ht="110.25" x14ac:dyDescent="0.25">
      <c r="A41" s="42" t="s">
        <v>77</v>
      </c>
      <c r="B41" s="43" t="s">
        <v>159</v>
      </c>
      <c r="C41" s="19" t="s">
        <v>158</v>
      </c>
      <c r="D41" s="74">
        <f>86449.15/1000000+0.001</f>
        <v>8.7449149999999989E-2</v>
      </c>
      <c r="E41" s="90">
        <f>0.001+0.086449+0.026809+0.046983</f>
        <v>0.161241</v>
      </c>
      <c r="F41" s="108">
        <v>-7.3791850000000006E-2</v>
      </c>
      <c r="G41" s="74">
        <f>I41+K41+M41+O41</f>
        <v>0</v>
      </c>
      <c r="H41" s="74">
        <f>J41+L41+N41+P41</f>
        <v>6.6784190000000007E-2</v>
      </c>
      <c r="I41" s="74">
        <v>0</v>
      </c>
      <c r="J41" s="74">
        <f>66784.19/1000000</f>
        <v>6.6784190000000007E-2</v>
      </c>
      <c r="K41" s="74">
        <v>0</v>
      </c>
      <c r="L41" s="74">
        <v>0</v>
      </c>
      <c r="M41" s="74">
        <v>0</v>
      </c>
      <c r="N41" s="74">
        <v>0</v>
      </c>
      <c r="O41" s="74">
        <v>0</v>
      </c>
      <c r="P41" s="108">
        <v>0</v>
      </c>
      <c r="Q41" s="74">
        <f>F41-H41</f>
        <v>-0.14057604000000001</v>
      </c>
      <c r="R41" s="90">
        <f>H41-(I41+K41+M41+O41)</f>
        <v>6.6784190000000007E-2</v>
      </c>
      <c r="S41" s="92" t="s">
        <v>127</v>
      </c>
      <c r="T41" s="104" t="s">
        <v>160</v>
      </c>
    </row>
    <row r="42" spans="1:20" s="3" customFormat="1" ht="110.25" x14ac:dyDescent="0.25">
      <c r="A42" s="42" t="s">
        <v>77</v>
      </c>
      <c r="B42" s="43" t="s">
        <v>135</v>
      </c>
      <c r="C42" s="19" t="s">
        <v>133</v>
      </c>
      <c r="D42" s="74">
        <f>1494345.9/1000000</f>
        <v>1.4943458999999999</v>
      </c>
      <c r="E42" s="74">
        <f>0.028+448303.76/1000000</f>
        <v>0.47630376000000002</v>
      </c>
      <c r="F42" s="74">
        <f>1494345.9/1000000-448303.76/1000000</f>
        <v>1.04604214</v>
      </c>
      <c r="G42" s="74">
        <f t="shared" si="17"/>
        <v>0</v>
      </c>
      <c r="H42" s="74">
        <f t="shared" si="17"/>
        <v>0.13733753000000001</v>
      </c>
      <c r="I42" s="74">
        <v>0</v>
      </c>
      <c r="J42" s="74">
        <f>49775.57/1000000</f>
        <v>4.9775569999999998E-2</v>
      </c>
      <c r="K42" s="74">
        <v>0</v>
      </c>
      <c r="L42" s="108">
        <f>0.04671646</f>
        <v>4.6716460000000001E-2</v>
      </c>
      <c r="M42" s="74">
        <v>0</v>
      </c>
      <c r="N42" s="74">
        <f>0.0408455</f>
        <v>4.08455E-2</v>
      </c>
      <c r="O42" s="74">
        <v>0</v>
      </c>
      <c r="P42" s="108">
        <v>0</v>
      </c>
      <c r="Q42" s="74">
        <f t="shared" si="19"/>
        <v>0.90870460999999991</v>
      </c>
      <c r="R42" s="90">
        <f>H42-(I42+K42+M42+O42)</f>
        <v>0.13733753000000001</v>
      </c>
      <c r="S42" s="92" t="s">
        <v>127</v>
      </c>
      <c r="T42" s="104" t="s">
        <v>136</v>
      </c>
    </row>
    <row r="43" spans="1:20" ht="31.5" x14ac:dyDescent="0.25">
      <c r="A43" s="42" t="s">
        <v>77</v>
      </c>
      <c r="B43" s="43" t="s">
        <v>143</v>
      </c>
      <c r="C43" s="19" t="s">
        <v>141</v>
      </c>
      <c r="D43" s="108">
        <v>1.3420000000000001</v>
      </c>
      <c r="E43" s="81">
        <v>5.0000000000000001E-3</v>
      </c>
      <c r="F43" s="108">
        <v>1.3420000000000001</v>
      </c>
      <c r="G43" s="74">
        <f t="shared" si="17"/>
        <v>0</v>
      </c>
      <c r="H43" s="74">
        <f t="shared" si="17"/>
        <v>0.52235096000000003</v>
      </c>
      <c r="I43" s="74">
        <v>0</v>
      </c>
      <c r="J43" s="74">
        <f>(44763.87+402459.15)/1000000</f>
        <v>0.44722302000000003</v>
      </c>
      <c r="K43" s="74">
        <v>0</v>
      </c>
      <c r="L43" s="108">
        <f>0.07512794</f>
        <v>7.5127940000000004E-2</v>
      </c>
      <c r="M43" s="74">
        <v>0</v>
      </c>
      <c r="N43" s="74">
        <v>0</v>
      </c>
      <c r="O43" s="74">
        <v>0</v>
      </c>
      <c r="P43" s="108">
        <v>0</v>
      </c>
      <c r="Q43" s="74">
        <f t="shared" si="19"/>
        <v>0.81964904000000005</v>
      </c>
      <c r="R43" s="90">
        <f t="shared" ref="R43:R46" si="20">H43-(I43+K43+M43+O43)</f>
        <v>0.52235096000000003</v>
      </c>
      <c r="S43" s="92" t="s">
        <v>127</v>
      </c>
      <c r="T43" s="104" t="s">
        <v>138</v>
      </c>
    </row>
    <row r="44" spans="1:20" ht="31.5" x14ac:dyDescent="0.25">
      <c r="A44" s="42" t="s">
        <v>77</v>
      </c>
      <c r="B44" s="43" t="s">
        <v>144</v>
      </c>
      <c r="C44" s="19" t="s">
        <v>142</v>
      </c>
      <c r="D44" s="108">
        <v>1.3120000000000001</v>
      </c>
      <c r="E44" s="81">
        <v>0.40300000000000002</v>
      </c>
      <c r="F44" s="108">
        <v>1.3120000000000001</v>
      </c>
      <c r="G44" s="74">
        <f t="shared" si="17"/>
        <v>0</v>
      </c>
      <c r="H44" s="74">
        <f t="shared" si="17"/>
        <v>8.5005949999999997E-2</v>
      </c>
      <c r="I44" s="74">
        <v>0</v>
      </c>
      <c r="J44" s="74">
        <f>43627.75/1000000</f>
        <v>4.362775E-2</v>
      </c>
      <c r="K44" s="74">
        <v>0</v>
      </c>
      <c r="L44" s="108">
        <f>0.0413782</f>
        <v>4.1378199999999997E-2</v>
      </c>
      <c r="M44" s="74">
        <v>0</v>
      </c>
      <c r="N44" s="74">
        <v>0</v>
      </c>
      <c r="O44" s="74">
        <v>0</v>
      </c>
      <c r="P44" s="108">
        <v>0</v>
      </c>
      <c r="Q44" s="74">
        <f t="shared" si="19"/>
        <v>1.2269940500000001</v>
      </c>
      <c r="R44" s="90">
        <f t="shared" si="20"/>
        <v>8.5005949999999997E-2</v>
      </c>
      <c r="S44" s="92" t="s">
        <v>127</v>
      </c>
      <c r="T44" s="104" t="s">
        <v>138</v>
      </c>
    </row>
    <row r="45" spans="1:20" ht="94.5" x14ac:dyDescent="0.25">
      <c r="A45" s="42" t="s">
        <v>77</v>
      </c>
      <c r="B45" s="43" t="s">
        <v>145</v>
      </c>
      <c r="C45" s="19" t="s">
        <v>139</v>
      </c>
      <c r="D45" s="108">
        <v>5.5720000000000001</v>
      </c>
      <c r="E45" s="81">
        <v>1.7350000000000001</v>
      </c>
      <c r="F45" s="108">
        <v>5.5720000000000001</v>
      </c>
      <c r="G45" s="74">
        <f t="shared" si="17"/>
        <v>0</v>
      </c>
      <c r="H45" s="74">
        <f t="shared" si="17"/>
        <v>0.51196112999999999</v>
      </c>
      <c r="I45" s="74">
        <v>0</v>
      </c>
      <c r="J45" s="74">
        <f>185499.33/1000000</f>
        <v>0.18549932999999999</v>
      </c>
      <c r="K45" s="74">
        <v>0</v>
      </c>
      <c r="L45" s="108">
        <f>0.17468421</f>
        <v>0.17468421000000001</v>
      </c>
      <c r="M45" s="74">
        <v>0</v>
      </c>
      <c r="N45" s="74">
        <f>0.15177759</f>
        <v>0.15177758999999999</v>
      </c>
      <c r="O45" s="74">
        <v>0</v>
      </c>
      <c r="P45" s="108">
        <v>0</v>
      </c>
      <c r="Q45" s="74">
        <f t="shared" si="19"/>
        <v>5.0600388699999996</v>
      </c>
      <c r="R45" s="90">
        <f t="shared" si="20"/>
        <v>0.51196112999999999</v>
      </c>
      <c r="S45" s="92" t="s">
        <v>127</v>
      </c>
      <c r="T45" s="104" t="s">
        <v>138</v>
      </c>
    </row>
    <row r="46" spans="1:20" ht="47.25" x14ac:dyDescent="0.25">
      <c r="A46" s="42" t="s">
        <v>77</v>
      </c>
      <c r="B46" s="43" t="s">
        <v>146</v>
      </c>
      <c r="C46" s="19" t="s">
        <v>140</v>
      </c>
      <c r="D46" s="108">
        <v>2.2999999999999998</v>
      </c>
      <c r="E46" s="81">
        <v>0.71</v>
      </c>
      <c r="F46" s="108">
        <f>2.3-0.69</f>
        <v>1.6099999999999999</v>
      </c>
      <c r="G46" s="74">
        <f t="shared" si="17"/>
        <v>0</v>
      </c>
      <c r="H46" s="74">
        <f t="shared" si="17"/>
        <v>2.0908517300000002</v>
      </c>
      <c r="I46" s="74">
        <v>0</v>
      </c>
      <c r="J46" s="74">
        <f>90763.96/1000000</f>
        <v>9.0763960000000005E-2</v>
      </c>
      <c r="K46" s="74">
        <v>0</v>
      </c>
      <c r="L46" s="108">
        <f>0.08523416+1.61</f>
        <v>1.69523416</v>
      </c>
      <c r="M46" s="74">
        <v>0</v>
      </c>
      <c r="N46" s="74">
        <f>0.30485361</f>
        <v>0.30485361</v>
      </c>
      <c r="O46" s="74">
        <v>0</v>
      </c>
      <c r="P46" s="108">
        <v>0</v>
      </c>
      <c r="Q46" s="74">
        <f t="shared" si="19"/>
        <v>-0.48085173000000037</v>
      </c>
      <c r="R46" s="90">
        <f t="shared" si="20"/>
        <v>2.0908517300000002</v>
      </c>
      <c r="S46" s="92" t="s">
        <v>127</v>
      </c>
      <c r="T46" s="104" t="s">
        <v>164</v>
      </c>
    </row>
    <row r="47" spans="1:20" ht="94.5" x14ac:dyDescent="0.25">
      <c r="A47" s="37" t="s">
        <v>83</v>
      </c>
      <c r="B47" s="44" t="s">
        <v>84</v>
      </c>
      <c r="C47" s="39" t="s">
        <v>51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3">
        <v>0</v>
      </c>
      <c r="R47" s="88"/>
      <c r="S47" s="88"/>
      <c r="T47" s="85" t="s">
        <v>127</v>
      </c>
    </row>
    <row r="48" spans="1:20" ht="47.25" x14ac:dyDescent="0.25">
      <c r="A48" s="31" t="s">
        <v>23</v>
      </c>
      <c r="B48" s="32" t="s">
        <v>85</v>
      </c>
      <c r="C48" s="33" t="s">
        <v>51</v>
      </c>
      <c r="D48" s="72">
        <f t="shared" ref="D48:R48" si="21">D49+D53+D57+D68</f>
        <v>33.228000000000002</v>
      </c>
      <c r="E48" s="72">
        <f t="shared" si="21"/>
        <v>0.15</v>
      </c>
      <c r="F48" s="72">
        <f t="shared" si="21"/>
        <v>33.078000000000003</v>
      </c>
      <c r="G48" s="72">
        <f t="shared" si="21"/>
        <v>16.394000000000002</v>
      </c>
      <c r="H48" s="72">
        <f t="shared" si="21"/>
        <v>0</v>
      </c>
      <c r="I48" s="72">
        <f t="shared" si="21"/>
        <v>3.1060000000000003</v>
      </c>
      <c r="J48" s="72">
        <f t="shared" si="21"/>
        <v>0</v>
      </c>
      <c r="K48" s="72">
        <f t="shared" si="21"/>
        <v>7.0730000000000004</v>
      </c>
      <c r="L48" s="72">
        <f t="shared" si="21"/>
        <v>0</v>
      </c>
      <c r="M48" s="72">
        <f t="shared" si="21"/>
        <v>3.1070000000000002</v>
      </c>
      <c r="N48" s="72">
        <f t="shared" si="21"/>
        <v>0</v>
      </c>
      <c r="O48" s="72">
        <f t="shared" si="21"/>
        <v>3.1080000000000001</v>
      </c>
      <c r="P48" s="72">
        <f t="shared" si="21"/>
        <v>0</v>
      </c>
      <c r="Q48" s="72">
        <f t="shared" si="21"/>
        <v>33.078000000000003</v>
      </c>
      <c r="R48" s="95">
        <f t="shared" si="21"/>
        <v>-13.286000000000001</v>
      </c>
      <c r="S48" s="109">
        <f>R48/G48*100</f>
        <v>-81.041844577284365</v>
      </c>
      <c r="T48" s="84" t="s">
        <v>127</v>
      </c>
    </row>
    <row r="49" spans="1:20" ht="78.75" x14ac:dyDescent="0.25">
      <c r="A49" s="40" t="s">
        <v>24</v>
      </c>
      <c r="B49" s="37" t="s">
        <v>86</v>
      </c>
      <c r="C49" s="41" t="s">
        <v>51</v>
      </c>
      <c r="D49" s="73">
        <f t="shared" ref="D49:R49" si="22">D50+D51</f>
        <v>1.794</v>
      </c>
      <c r="E49" s="73">
        <f t="shared" si="22"/>
        <v>0.15</v>
      </c>
      <c r="F49" s="73">
        <f t="shared" si="22"/>
        <v>1.6440000000000001</v>
      </c>
      <c r="G49" s="73">
        <f t="shared" si="22"/>
        <v>0</v>
      </c>
      <c r="H49" s="73">
        <f t="shared" si="22"/>
        <v>0</v>
      </c>
      <c r="I49" s="73">
        <f t="shared" si="22"/>
        <v>0</v>
      </c>
      <c r="J49" s="73">
        <f t="shared" si="22"/>
        <v>0</v>
      </c>
      <c r="K49" s="73">
        <f t="shared" si="22"/>
        <v>0</v>
      </c>
      <c r="L49" s="73">
        <f t="shared" si="22"/>
        <v>0</v>
      </c>
      <c r="M49" s="73">
        <f t="shared" si="22"/>
        <v>0</v>
      </c>
      <c r="N49" s="73">
        <f t="shared" si="22"/>
        <v>0</v>
      </c>
      <c r="O49" s="73">
        <f t="shared" si="22"/>
        <v>0</v>
      </c>
      <c r="P49" s="73">
        <f t="shared" si="22"/>
        <v>0</v>
      </c>
      <c r="Q49" s="73">
        <f t="shared" si="22"/>
        <v>1.6440000000000001</v>
      </c>
      <c r="R49" s="94">
        <f t="shared" si="22"/>
        <v>0</v>
      </c>
      <c r="S49" s="91">
        <v>0</v>
      </c>
      <c r="T49" s="85" t="s">
        <v>127</v>
      </c>
    </row>
    <row r="50" spans="1:20" ht="47.25" x14ac:dyDescent="0.25">
      <c r="A50" s="45" t="s">
        <v>25</v>
      </c>
      <c r="B50" s="46" t="s">
        <v>87</v>
      </c>
      <c r="C50" s="47" t="s">
        <v>51</v>
      </c>
      <c r="D50" s="75">
        <v>0</v>
      </c>
      <c r="E50" s="75">
        <v>0</v>
      </c>
      <c r="F50" s="75">
        <v>0</v>
      </c>
      <c r="G50" s="75">
        <v>0</v>
      </c>
      <c r="H50" s="75">
        <v>0</v>
      </c>
      <c r="I50" s="75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75">
        <v>0</v>
      </c>
      <c r="Q50" s="75">
        <v>0</v>
      </c>
      <c r="R50" s="93">
        <v>0</v>
      </c>
      <c r="S50" s="97">
        <v>0</v>
      </c>
      <c r="T50" s="86" t="s">
        <v>127</v>
      </c>
    </row>
    <row r="51" spans="1:20" ht="78.75" x14ac:dyDescent="0.25">
      <c r="A51" s="46" t="s">
        <v>26</v>
      </c>
      <c r="B51" s="49" t="s">
        <v>88</v>
      </c>
      <c r="C51" s="50" t="s">
        <v>51</v>
      </c>
      <c r="D51" s="75">
        <f>D52</f>
        <v>1.794</v>
      </c>
      <c r="E51" s="75">
        <f t="shared" ref="E51:R51" si="23">E52</f>
        <v>0.15</v>
      </c>
      <c r="F51" s="75">
        <f t="shared" si="23"/>
        <v>1.6440000000000001</v>
      </c>
      <c r="G51" s="75">
        <f t="shared" si="23"/>
        <v>0</v>
      </c>
      <c r="H51" s="75">
        <f t="shared" si="23"/>
        <v>0</v>
      </c>
      <c r="I51" s="75">
        <f t="shared" si="23"/>
        <v>0</v>
      </c>
      <c r="J51" s="75">
        <f t="shared" si="23"/>
        <v>0</v>
      </c>
      <c r="K51" s="75">
        <f t="shared" si="23"/>
        <v>0</v>
      </c>
      <c r="L51" s="75">
        <f t="shared" si="23"/>
        <v>0</v>
      </c>
      <c r="M51" s="75">
        <f t="shared" si="23"/>
        <v>0</v>
      </c>
      <c r="N51" s="75">
        <f t="shared" si="23"/>
        <v>0</v>
      </c>
      <c r="O51" s="75">
        <f t="shared" si="23"/>
        <v>0</v>
      </c>
      <c r="P51" s="75">
        <f t="shared" si="23"/>
        <v>0</v>
      </c>
      <c r="Q51" s="75">
        <f t="shared" si="23"/>
        <v>1.6440000000000001</v>
      </c>
      <c r="R51" s="93">
        <f t="shared" si="23"/>
        <v>0</v>
      </c>
      <c r="S51" s="97">
        <v>0</v>
      </c>
      <c r="T51" s="86" t="s">
        <v>127</v>
      </c>
    </row>
    <row r="52" spans="1:20" s="3" customFormat="1" ht="94.5" x14ac:dyDescent="0.25">
      <c r="A52" s="27" t="s">
        <v>26</v>
      </c>
      <c r="B52" s="48" t="s">
        <v>128</v>
      </c>
      <c r="C52" s="43" t="s">
        <v>129</v>
      </c>
      <c r="D52" s="20">
        <v>1.794</v>
      </c>
      <c r="E52" s="74">
        <v>0.15</v>
      </c>
      <c r="F52" s="20">
        <f t="shared" ref="F52" si="24">D52-E52</f>
        <v>1.6440000000000001</v>
      </c>
      <c r="G52" s="74">
        <f t="shared" ref="G52:H52" si="25">I52+K52+M52+O52</f>
        <v>0</v>
      </c>
      <c r="H52" s="74">
        <f t="shared" si="25"/>
        <v>0</v>
      </c>
      <c r="I52" s="74">
        <v>0</v>
      </c>
      <c r="J52" s="74">
        <v>0</v>
      </c>
      <c r="K52" s="74">
        <v>0</v>
      </c>
      <c r="L52" s="74">
        <v>0</v>
      </c>
      <c r="M52" s="74">
        <v>0</v>
      </c>
      <c r="N52" s="74">
        <v>0</v>
      </c>
      <c r="O52" s="74">
        <v>0</v>
      </c>
      <c r="P52" s="108">
        <v>0</v>
      </c>
      <c r="Q52" s="74">
        <f t="shared" ref="Q52" si="26">F52-H52</f>
        <v>1.6440000000000001</v>
      </c>
      <c r="R52" s="90">
        <f>H52-(I52+K52+M52)</f>
        <v>0</v>
      </c>
      <c r="S52" s="92" t="s">
        <v>127</v>
      </c>
      <c r="T52" s="104" t="s">
        <v>162</v>
      </c>
    </row>
    <row r="53" spans="1:20" ht="47.25" x14ac:dyDescent="0.25">
      <c r="A53" s="51" t="s">
        <v>27</v>
      </c>
      <c r="B53" s="52" t="s">
        <v>89</v>
      </c>
      <c r="C53" s="39" t="s">
        <v>51</v>
      </c>
      <c r="D53" s="73">
        <f t="shared" ref="D53:S53" si="27">D54+D56</f>
        <v>3.9670000000000001</v>
      </c>
      <c r="E53" s="73">
        <f t="shared" si="27"/>
        <v>0</v>
      </c>
      <c r="F53" s="73">
        <f t="shared" si="27"/>
        <v>3.9670000000000001</v>
      </c>
      <c r="G53" s="73">
        <f t="shared" si="27"/>
        <v>3.9670000000000001</v>
      </c>
      <c r="H53" s="73">
        <f t="shared" si="27"/>
        <v>0</v>
      </c>
      <c r="I53" s="73">
        <f t="shared" si="27"/>
        <v>0</v>
      </c>
      <c r="J53" s="73">
        <f t="shared" si="27"/>
        <v>0</v>
      </c>
      <c r="K53" s="73">
        <f t="shared" si="27"/>
        <v>3.9670000000000001</v>
      </c>
      <c r="L53" s="73">
        <f t="shared" si="27"/>
        <v>0</v>
      </c>
      <c r="M53" s="73">
        <f t="shared" si="27"/>
        <v>0</v>
      </c>
      <c r="N53" s="73">
        <f t="shared" si="27"/>
        <v>0</v>
      </c>
      <c r="O53" s="73">
        <f t="shared" si="27"/>
        <v>0</v>
      </c>
      <c r="P53" s="73">
        <f t="shared" si="27"/>
        <v>0</v>
      </c>
      <c r="Q53" s="73">
        <f t="shared" si="27"/>
        <v>3.9670000000000001</v>
      </c>
      <c r="R53" s="94">
        <f t="shared" si="27"/>
        <v>-3.9670000000000001</v>
      </c>
      <c r="S53" s="91">
        <f t="shared" si="27"/>
        <v>-100</v>
      </c>
      <c r="T53" s="85" t="s">
        <v>127</v>
      </c>
    </row>
    <row r="54" spans="1:20" ht="31.5" x14ac:dyDescent="0.25">
      <c r="A54" s="53" t="s">
        <v>90</v>
      </c>
      <c r="B54" s="50" t="s">
        <v>91</v>
      </c>
      <c r="C54" s="54" t="s">
        <v>51</v>
      </c>
      <c r="D54" s="75">
        <f>D55</f>
        <v>3.9670000000000001</v>
      </c>
      <c r="E54" s="75">
        <f t="shared" ref="E54:Q54" si="28">E55</f>
        <v>0</v>
      </c>
      <c r="F54" s="75">
        <f t="shared" si="28"/>
        <v>3.9670000000000001</v>
      </c>
      <c r="G54" s="75">
        <f t="shared" si="28"/>
        <v>3.9670000000000001</v>
      </c>
      <c r="H54" s="75">
        <f t="shared" si="28"/>
        <v>0</v>
      </c>
      <c r="I54" s="75">
        <f t="shared" si="28"/>
        <v>0</v>
      </c>
      <c r="J54" s="75">
        <f t="shared" si="28"/>
        <v>0</v>
      </c>
      <c r="K54" s="75">
        <f t="shared" si="28"/>
        <v>3.9670000000000001</v>
      </c>
      <c r="L54" s="75">
        <f t="shared" si="28"/>
        <v>0</v>
      </c>
      <c r="M54" s="75">
        <f t="shared" si="28"/>
        <v>0</v>
      </c>
      <c r="N54" s="75">
        <f t="shared" si="28"/>
        <v>0</v>
      </c>
      <c r="O54" s="75">
        <f t="shared" si="28"/>
        <v>0</v>
      </c>
      <c r="P54" s="75">
        <f t="shared" si="28"/>
        <v>0</v>
      </c>
      <c r="Q54" s="75">
        <f t="shared" si="28"/>
        <v>3.9670000000000001</v>
      </c>
      <c r="R54" s="93">
        <f>R55</f>
        <v>-3.9670000000000001</v>
      </c>
      <c r="S54" s="97">
        <f>S55</f>
        <v>-100</v>
      </c>
      <c r="T54" s="86" t="s">
        <v>127</v>
      </c>
    </row>
    <row r="55" spans="1:20" s="3" customFormat="1" ht="110.25" x14ac:dyDescent="0.25">
      <c r="A55" s="58" t="s">
        <v>90</v>
      </c>
      <c r="B55" s="48" t="s">
        <v>153</v>
      </c>
      <c r="C55" s="9" t="s">
        <v>154</v>
      </c>
      <c r="D55" s="74">
        <v>3.9670000000000001</v>
      </c>
      <c r="E55" s="74">
        <v>0</v>
      </c>
      <c r="F55" s="74">
        <v>3.9670000000000001</v>
      </c>
      <c r="G55" s="74">
        <f t="shared" ref="G55:H55" si="29">I55+K55+M55+O55</f>
        <v>3.9670000000000001</v>
      </c>
      <c r="H55" s="74">
        <f t="shared" si="29"/>
        <v>0</v>
      </c>
      <c r="I55" s="74">
        <v>0</v>
      </c>
      <c r="J55" s="74">
        <v>0</v>
      </c>
      <c r="K55" s="74">
        <v>3.9670000000000001</v>
      </c>
      <c r="L55" s="74">
        <v>0</v>
      </c>
      <c r="M55" s="74">
        <v>0</v>
      </c>
      <c r="N55" s="74">
        <v>0</v>
      </c>
      <c r="O55" s="74">
        <v>0</v>
      </c>
      <c r="P55" s="74">
        <v>0</v>
      </c>
      <c r="Q55" s="74">
        <f t="shared" ref="Q55" si="30">F55-H55</f>
        <v>3.9670000000000001</v>
      </c>
      <c r="R55" s="90">
        <f>H55-(I55+K55+M55)</f>
        <v>-3.9670000000000001</v>
      </c>
      <c r="S55" s="92">
        <f t="shared" ref="S55:S61" si="31">R55/G55*100</f>
        <v>-100</v>
      </c>
      <c r="T55" s="104" t="s">
        <v>137</v>
      </c>
    </row>
    <row r="56" spans="1:20" ht="47.25" x14ac:dyDescent="0.25">
      <c r="A56" s="55" t="s">
        <v>92</v>
      </c>
      <c r="B56" s="49" t="s">
        <v>93</v>
      </c>
      <c r="C56" s="56" t="s">
        <v>51</v>
      </c>
      <c r="D56" s="76">
        <v>0</v>
      </c>
      <c r="E56" s="76">
        <v>0</v>
      </c>
      <c r="F56" s="76">
        <v>0</v>
      </c>
      <c r="G56" s="76">
        <v>0</v>
      </c>
      <c r="H56" s="76">
        <v>0</v>
      </c>
      <c r="I56" s="76">
        <v>0</v>
      </c>
      <c r="J56" s="76">
        <v>0</v>
      </c>
      <c r="K56" s="76">
        <v>0</v>
      </c>
      <c r="L56" s="76">
        <v>0</v>
      </c>
      <c r="M56" s="76">
        <v>0</v>
      </c>
      <c r="N56" s="76">
        <v>0</v>
      </c>
      <c r="O56" s="76">
        <v>0</v>
      </c>
      <c r="P56" s="76">
        <v>0</v>
      </c>
      <c r="Q56" s="76">
        <v>0</v>
      </c>
      <c r="R56" s="93">
        <v>0</v>
      </c>
      <c r="S56" s="97">
        <v>0</v>
      </c>
      <c r="T56" s="86" t="s">
        <v>127</v>
      </c>
    </row>
    <row r="57" spans="1:20" ht="47.25" x14ac:dyDescent="0.25">
      <c r="A57" s="51" t="s">
        <v>28</v>
      </c>
      <c r="B57" s="52" t="s">
        <v>94</v>
      </c>
      <c r="C57" s="57" t="s">
        <v>51</v>
      </c>
      <c r="D57" s="73">
        <f t="shared" ref="D57:E57" si="32">D58+D59+D62+D63+D64+D65+D66+D67</f>
        <v>27.466999999999999</v>
      </c>
      <c r="E57" s="73">
        <f t="shared" si="32"/>
        <v>0</v>
      </c>
      <c r="F57" s="73">
        <f>F58+F59+F62+F63+F64+F65+F66+F67</f>
        <v>27.466999999999999</v>
      </c>
      <c r="G57" s="73">
        <f>G58+G59+G62+G63+G64+G65+G66+G67</f>
        <v>12.427000000000001</v>
      </c>
      <c r="H57" s="73">
        <f t="shared" ref="H57:R57" si="33">H58+H59+H62+H63+H64+H65+H66+H67</f>
        <v>0</v>
      </c>
      <c r="I57" s="73">
        <f t="shared" si="33"/>
        <v>3.1060000000000003</v>
      </c>
      <c r="J57" s="73">
        <f t="shared" si="33"/>
        <v>0</v>
      </c>
      <c r="K57" s="73">
        <f t="shared" si="33"/>
        <v>3.1060000000000003</v>
      </c>
      <c r="L57" s="73">
        <f t="shared" si="33"/>
        <v>0</v>
      </c>
      <c r="M57" s="73">
        <f t="shared" si="33"/>
        <v>3.1070000000000002</v>
      </c>
      <c r="N57" s="73">
        <f t="shared" si="33"/>
        <v>0</v>
      </c>
      <c r="O57" s="73">
        <f t="shared" si="33"/>
        <v>3.1080000000000001</v>
      </c>
      <c r="P57" s="73">
        <f t="shared" si="33"/>
        <v>0</v>
      </c>
      <c r="Q57" s="73">
        <f t="shared" si="33"/>
        <v>27.466999999999999</v>
      </c>
      <c r="R57" s="94">
        <f t="shared" si="33"/>
        <v>-9.3190000000000008</v>
      </c>
      <c r="S57" s="91">
        <f t="shared" si="31"/>
        <v>-74.989941256940526</v>
      </c>
      <c r="T57" s="85" t="s">
        <v>127</v>
      </c>
    </row>
    <row r="58" spans="1:20" ht="47.25" x14ac:dyDescent="0.25">
      <c r="A58" s="53" t="s">
        <v>29</v>
      </c>
      <c r="B58" s="50" t="s">
        <v>95</v>
      </c>
      <c r="C58" s="56" t="s">
        <v>51</v>
      </c>
      <c r="D58" s="75">
        <v>0</v>
      </c>
      <c r="E58" s="75">
        <v>0</v>
      </c>
      <c r="F58" s="75">
        <v>0</v>
      </c>
      <c r="G58" s="75">
        <v>0</v>
      </c>
      <c r="H58" s="75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75">
        <v>0</v>
      </c>
      <c r="R58" s="93">
        <v>0</v>
      </c>
      <c r="S58" s="97">
        <v>0</v>
      </c>
      <c r="T58" s="86" t="s">
        <v>127</v>
      </c>
    </row>
    <row r="59" spans="1:20" ht="47.25" x14ac:dyDescent="0.25">
      <c r="A59" s="53" t="s">
        <v>30</v>
      </c>
      <c r="B59" s="50" t="s">
        <v>96</v>
      </c>
      <c r="C59" s="56" t="s">
        <v>51</v>
      </c>
      <c r="D59" s="75">
        <f>SUM(D60:D61)</f>
        <v>27.466999999999999</v>
      </c>
      <c r="E59" s="75">
        <f t="shared" ref="E59:R59" si="34">SUM(E60:E61)</f>
        <v>0</v>
      </c>
      <c r="F59" s="75">
        <f t="shared" si="34"/>
        <v>27.466999999999999</v>
      </c>
      <c r="G59" s="75">
        <f t="shared" si="34"/>
        <v>12.427000000000001</v>
      </c>
      <c r="H59" s="75">
        <f t="shared" si="34"/>
        <v>0</v>
      </c>
      <c r="I59" s="75">
        <f t="shared" si="34"/>
        <v>3.1060000000000003</v>
      </c>
      <c r="J59" s="75">
        <f t="shared" si="34"/>
        <v>0</v>
      </c>
      <c r="K59" s="75">
        <f t="shared" si="34"/>
        <v>3.1060000000000003</v>
      </c>
      <c r="L59" s="75">
        <f t="shared" si="34"/>
        <v>0</v>
      </c>
      <c r="M59" s="75">
        <f t="shared" si="34"/>
        <v>3.1070000000000002</v>
      </c>
      <c r="N59" s="75">
        <f t="shared" si="34"/>
        <v>0</v>
      </c>
      <c r="O59" s="75">
        <f t="shared" si="34"/>
        <v>3.1080000000000001</v>
      </c>
      <c r="P59" s="75">
        <f t="shared" si="34"/>
        <v>0</v>
      </c>
      <c r="Q59" s="75">
        <f t="shared" si="34"/>
        <v>27.466999999999999</v>
      </c>
      <c r="R59" s="93">
        <f t="shared" si="34"/>
        <v>-9.3190000000000008</v>
      </c>
      <c r="S59" s="97">
        <f t="shared" si="31"/>
        <v>-74.989941256940526</v>
      </c>
      <c r="T59" s="86" t="s">
        <v>127</v>
      </c>
    </row>
    <row r="60" spans="1:20" ht="63" x14ac:dyDescent="0.25">
      <c r="A60" s="58" t="s">
        <v>30</v>
      </c>
      <c r="B60" s="48" t="s">
        <v>97</v>
      </c>
      <c r="C60" s="9" t="s">
        <v>98</v>
      </c>
      <c r="D60" s="74">
        <v>3.8660000000000001</v>
      </c>
      <c r="E60" s="74">
        <v>0</v>
      </c>
      <c r="F60" s="74">
        <f t="shared" ref="F60:F61" si="35">D60-E60</f>
        <v>3.8660000000000001</v>
      </c>
      <c r="G60" s="74">
        <f t="shared" ref="G60:H61" si="36">I60+K60+M60+O60</f>
        <v>0.254</v>
      </c>
      <c r="H60" s="74">
        <f t="shared" si="36"/>
        <v>0</v>
      </c>
      <c r="I60" s="74">
        <v>6.3E-2</v>
      </c>
      <c r="J60" s="74">
        <v>0</v>
      </c>
      <c r="K60" s="74">
        <v>6.3E-2</v>
      </c>
      <c r="L60" s="74">
        <v>0</v>
      </c>
      <c r="M60" s="74">
        <v>6.4000000000000001E-2</v>
      </c>
      <c r="N60" s="74">
        <v>0</v>
      </c>
      <c r="O60" s="74">
        <v>6.4000000000000001E-2</v>
      </c>
      <c r="P60" s="74">
        <v>0</v>
      </c>
      <c r="Q60" s="74">
        <f t="shared" ref="Q60:Q61" si="37">F60-H60</f>
        <v>3.8660000000000001</v>
      </c>
      <c r="R60" s="90">
        <f t="shared" ref="R60:R61" si="38">H60-(I60+K60+M60)</f>
        <v>-0.19</v>
      </c>
      <c r="S60" s="92">
        <f t="shared" si="31"/>
        <v>-74.803149606299215</v>
      </c>
      <c r="T60" s="107" t="s">
        <v>155</v>
      </c>
    </row>
    <row r="61" spans="1:20" ht="141.75" x14ac:dyDescent="0.25">
      <c r="A61" s="58" t="s">
        <v>30</v>
      </c>
      <c r="B61" s="59" t="s">
        <v>99</v>
      </c>
      <c r="C61" s="22" t="s">
        <v>100</v>
      </c>
      <c r="D61" s="19">
        <v>23.600999999999999</v>
      </c>
      <c r="E61" s="74">
        <v>0</v>
      </c>
      <c r="F61" s="74">
        <f t="shared" si="35"/>
        <v>23.600999999999999</v>
      </c>
      <c r="G61" s="74">
        <f t="shared" si="36"/>
        <v>12.173000000000002</v>
      </c>
      <c r="H61" s="74">
        <f t="shared" si="36"/>
        <v>0</v>
      </c>
      <c r="I61" s="74">
        <v>3.0430000000000001</v>
      </c>
      <c r="J61" s="74">
        <v>0</v>
      </c>
      <c r="K61" s="74">
        <v>3.0430000000000001</v>
      </c>
      <c r="L61" s="74">
        <v>0</v>
      </c>
      <c r="M61" s="74">
        <v>3.0430000000000001</v>
      </c>
      <c r="N61" s="74">
        <v>0</v>
      </c>
      <c r="O61" s="74">
        <v>3.044</v>
      </c>
      <c r="P61" s="74">
        <v>0</v>
      </c>
      <c r="Q61" s="74">
        <f t="shared" si="37"/>
        <v>23.600999999999999</v>
      </c>
      <c r="R61" s="90">
        <f t="shared" si="38"/>
        <v>-9.1290000000000013</v>
      </c>
      <c r="S61" s="92">
        <f t="shared" si="31"/>
        <v>-74.993838823626064</v>
      </c>
      <c r="T61" s="107" t="s">
        <v>156</v>
      </c>
    </row>
    <row r="62" spans="1:20" ht="47.25" x14ac:dyDescent="0.25">
      <c r="A62" s="55" t="s">
        <v>31</v>
      </c>
      <c r="B62" s="49" t="s">
        <v>101</v>
      </c>
      <c r="C62" s="50" t="s">
        <v>51</v>
      </c>
      <c r="D62" s="77">
        <v>0</v>
      </c>
      <c r="E62" s="77">
        <v>0</v>
      </c>
      <c r="F62" s="77">
        <v>0</v>
      </c>
      <c r="G62" s="77">
        <v>0</v>
      </c>
      <c r="H62" s="77">
        <v>0</v>
      </c>
      <c r="I62" s="77">
        <v>0</v>
      </c>
      <c r="J62" s="77">
        <v>0</v>
      </c>
      <c r="K62" s="77">
        <v>0</v>
      </c>
      <c r="L62" s="77">
        <v>0</v>
      </c>
      <c r="M62" s="77">
        <v>0</v>
      </c>
      <c r="N62" s="77">
        <v>0</v>
      </c>
      <c r="O62" s="77">
        <v>0</v>
      </c>
      <c r="P62" s="77">
        <v>0</v>
      </c>
      <c r="Q62" s="77">
        <v>0</v>
      </c>
      <c r="R62" s="77">
        <v>0</v>
      </c>
      <c r="S62" s="97">
        <v>0</v>
      </c>
      <c r="T62" s="87" t="s">
        <v>127</v>
      </c>
    </row>
    <row r="63" spans="1:20" ht="47.25" x14ac:dyDescent="0.25">
      <c r="A63" s="55" t="s">
        <v>32</v>
      </c>
      <c r="B63" s="49" t="s">
        <v>102</v>
      </c>
      <c r="C63" s="50" t="s">
        <v>51</v>
      </c>
      <c r="D63" s="77">
        <v>0</v>
      </c>
      <c r="E63" s="77">
        <v>0</v>
      </c>
      <c r="F63" s="77">
        <v>0</v>
      </c>
      <c r="G63" s="77">
        <v>0</v>
      </c>
      <c r="H63" s="77">
        <v>0</v>
      </c>
      <c r="I63" s="77">
        <v>0</v>
      </c>
      <c r="J63" s="77">
        <v>0</v>
      </c>
      <c r="K63" s="77">
        <v>0</v>
      </c>
      <c r="L63" s="77">
        <v>0</v>
      </c>
      <c r="M63" s="77">
        <v>0</v>
      </c>
      <c r="N63" s="77">
        <v>0</v>
      </c>
      <c r="O63" s="77">
        <v>0</v>
      </c>
      <c r="P63" s="77">
        <v>0</v>
      </c>
      <c r="Q63" s="77">
        <v>0</v>
      </c>
      <c r="R63" s="77">
        <v>0</v>
      </c>
      <c r="S63" s="97">
        <v>0</v>
      </c>
      <c r="T63" s="87" t="s">
        <v>127</v>
      </c>
    </row>
    <row r="64" spans="1:20" ht="63" x14ac:dyDescent="0.25">
      <c r="A64" s="55" t="s">
        <v>33</v>
      </c>
      <c r="B64" s="49" t="s">
        <v>103</v>
      </c>
      <c r="C64" s="50" t="s">
        <v>51</v>
      </c>
      <c r="D64" s="77">
        <v>0</v>
      </c>
      <c r="E64" s="77">
        <v>0</v>
      </c>
      <c r="F64" s="77">
        <v>0</v>
      </c>
      <c r="G64" s="77">
        <v>0</v>
      </c>
      <c r="H64" s="77">
        <v>0</v>
      </c>
      <c r="I64" s="77">
        <v>0</v>
      </c>
      <c r="J64" s="77">
        <v>0</v>
      </c>
      <c r="K64" s="77">
        <v>0</v>
      </c>
      <c r="L64" s="77">
        <v>0</v>
      </c>
      <c r="M64" s="77">
        <v>0</v>
      </c>
      <c r="N64" s="77">
        <v>0</v>
      </c>
      <c r="O64" s="77">
        <v>0</v>
      </c>
      <c r="P64" s="77">
        <v>0</v>
      </c>
      <c r="Q64" s="77">
        <v>0</v>
      </c>
      <c r="R64" s="77">
        <v>0</v>
      </c>
      <c r="S64" s="97">
        <v>0</v>
      </c>
      <c r="T64" s="87" t="s">
        <v>127</v>
      </c>
    </row>
    <row r="65" spans="1:21" ht="63" x14ac:dyDescent="0.25">
      <c r="A65" s="55" t="s">
        <v>34</v>
      </c>
      <c r="B65" s="49" t="s">
        <v>104</v>
      </c>
      <c r="C65" s="60" t="s">
        <v>51</v>
      </c>
      <c r="D65" s="77">
        <v>0</v>
      </c>
      <c r="E65" s="77">
        <v>0</v>
      </c>
      <c r="F65" s="77">
        <v>0</v>
      </c>
      <c r="G65" s="77">
        <v>0</v>
      </c>
      <c r="H65" s="77">
        <v>0</v>
      </c>
      <c r="I65" s="77">
        <v>0</v>
      </c>
      <c r="J65" s="77">
        <v>0</v>
      </c>
      <c r="K65" s="77">
        <v>0</v>
      </c>
      <c r="L65" s="77">
        <v>0</v>
      </c>
      <c r="M65" s="77">
        <v>0</v>
      </c>
      <c r="N65" s="77">
        <v>0</v>
      </c>
      <c r="O65" s="77">
        <v>0</v>
      </c>
      <c r="P65" s="77">
        <v>0</v>
      </c>
      <c r="Q65" s="77">
        <v>0</v>
      </c>
      <c r="R65" s="77">
        <v>0</v>
      </c>
      <c r="S65" s="97">
        <v>0</v>
      </c>
      <c r="T65" s="87" t="s">
        <v>127</v>
      </c>
    </row>
    <row r="66" spans="1:21" ht="63" x14ac:dyDescent="0.25">
      <c r="A66" s="55" t="s">
        <v>35</v>
      </c>
      <c r="B66" s="49" t="s">
        <v>105</v>
      </c>
      <c r="C66" s="60" t="s">
        <v>51</v>
      </c>
      <c r="D66" s="77">
        <v>0</v>
      </c>
      <c r="E66" s="77">
        <v>0</v>
      </c>
      <c r="F66" s="77">
        <v>0</v>
      </c>
      <c r="G66" s="77">
        <v>0</v>
      </c>
      <c r="H66" s="77">
        <v>0</v>
      </c>
      <c r="I66" s="77">
        <v>0</v>
      </c>
      <c r="J66" s="77">
        <v>0</v>
      </c>
      <c r="K66" s="77">
        <v>0</v>
      </c>
      <c r="L66" s="77">
        <v>0</v>
      </c>
      <c r="M66" s="77">
        <v>0</v>
      </c>
      <c r="N66" s="77">
        <v>0</v>
      </c>
      <c r="O66" s="77">
        <v>0</v>
      </c>
      <c r="P66" s="77">
        <v>0</v>
      </c>
      <c r="Q66" s="77">
        <v>0</v>
      </c>
      <c r="R66" s="77">
        <v>0</v>
      </c>
      <c r="S66" s="97">
        <v>0</v>
      </c>
      <c r="T66" s="87" t="s">
        <v>127</v>
      </c>
    </row>
    <row r="67" spans="1:21" ht="63" x14ac:dyDescent="0.25">
      <c r="A67" s="55" t="s">
        <v>106</v>
      </c>
      <c r="B67" s="49" t="s">
        <v>107</v>
      </c>
      <c r="C67" s="60" t="s">
        <v>51</v>
      </c>
      <c r="D67" s="77">
        <v>0</v>
      </c>
      <c r="E67" s="77">
        <v>0</v>
      </c>
      <c r="F67" s="77">
        <v>0</v>
      </c>
      <c r="G67" s="77">
        <v>0</v>
      </c>
      <c r="H67" s="77">
        <v>0</v>
      </c>
      <c r="I67" s="77">
        <v>0</v>
      </c>
      <c r="J67" s="77">
        <v>0</v>
      </c>
      <c r="K67" s="77">
        <v>0</v>
      </c>
      <c r="L67" s="77">
        <v>0</v>
      </c>
      <c r="M67" s="77">
        <v>0</v>
      </c>
      <c r="N67" s="77">
        <v>0</v>
      </c>
      <c r="O67" s="77">
        <v>0</v>
      </c>
      <c r="P67" s="77">
        <v>0</v>
      </c>
      <c r="Q67" s="77">
        <v>0</v>
      </c>
      <c r="R67" s="77">
        <v>0</v>
      </c>
      <c r="S67" s="97">
        <v>0</v>
      </c>
      <c r="T67" s="87" t="s">
        <v>127</v>
      </c>
    </row>
    <row r="68" spans="1:21" ht="63" x14ac:dyDescent="0.25">
      <c r="A68" s="36" t="s">
        <v>108</v>
      </c>
      <c r="B68" s="61" t="s">
        <v>109</v>
      </c>
      <c r="C68" s="52" t="s">
        <v>51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91">
        <v>0</v>
      </c>
      <c r="T68" s="88" t="s">
        <v>127</v>
      </c>
    </row>
    <row r="69" spans="1:21" ht="47.25" x14ac:dyDescent="0.25">
      <c r="A69" s="55" t="s">
        <v>110</v>
      </c>
      <c r="B69" s="49" t="s">
        <v>111</v>
      </c>
      <c r="C69" s="50" t="s">
        <v>51</v>
      </c>
      <c r="D69" s="77">
        <v>0</v>
      </c>
      <c r="E69" s="77">
        <v>0</v>
      </c>
      <c r="F69" s="77">
        <v>0</v>
      </c>
      <c r="G69" s="77">
        <v>0</v>
      </c>
      <c r="H69" s="77">
        <v>0</v>
      </c>
      <c r="I69" s="77">
        <v>0</v>
      </c>
      <c r="J69" s="77">
        <v>0</v>
      </c>
      <c r="K69" s="77">
        <v>0</v>
      </c>
      <c r="L69" s="77">
        <v>0</v>
      </c>
      <c r="M69" s="77">
        <v>0</v>
      </c>
      <c r="N69" s="77">
        <v>0</v>
      </c>
      <c r="O69" s="77">
        <v>0</v>
      </c>
      <c r="P69" s="77">
        <v>0</v>
      </c>
      <c r="Q69" s="77">
        <v>0</v>
      </c>
      <c r="R69" s="77">
        <v>0</v>
      </c>
      <c r="S69" s="97">
        <v>0</v>
      </c>
      <c r="T69" s="87" t="s">
        <v>127</v>
      </c>
    </row>
    <row r="70" spans="1:21" ht="63" x14ac:dyDescent="0.25">
      <c r="A70" s="55" t="s">
        <v>112</v>
      </c>
      <c r="B70" s="49" t="s">
        <v>113</v>
      </c>
      <c r="C70" s="50" t="s">
        <v>51</v>
      </c>
      <c r="D70" s="77">
        <v>0</v>
      </c>
      <c r="E70" s="77">
        <v>0</v>
      </c>
      <c r="F70" s="77">
        <v>0</v>
      </c>
      <c r="G70" s="77">
        <v>0</v>
      </c>
      <c r="H70" s="77">
        <v>0</v>
      </c>
      <c r="I70" s="77">
        <v>0</v>
      </c>
      <c r="J70" s="77">
        <v>0</v>
      </c>
      <c r="K70" s="77">
        <v>0</v>
      </c>
      <c r="L70" s="77">
        <v>0</v>
      </c>
      <c r="M70" s="77">
        <v>0</v>
      </c>
      <c r="N70" s="77">
        <v>0</v>
      </c>
      <c r="O70" s="77">
        <v>0</v>
      </c>
      <c r="P70" s="77">
        <v>0</v>
      </c>
      <c r="Q70" s="77">
        <v>0</v>
      </c>
      <c r="R70" s="77">
        <v>0</v>
      </c>
      <c r="S70" s="97">
        <v>0</v>
      </c>
      <c r="T70" s="87" t="s">
        <v>127</v>
      </c>
    </row>
    <row r="71" spans="1:21" ht="94.5" x14ac:dyDescent="0.25">
      <c r="A71" s="34" t="s">
        <v>36</v>
      </c>
      <c r="B71" s="62" t="s">
        <v>114</v>
      </c>
      <c r="C71" s="63" t="s">
        <v>51</v>
      </c>
      <c r="D71" s="66">
        <v>0</v>
      </c>
      <c r="E71" s="66">
        <v>0</v>
      </c>
      <c r="F71" s="66">
        <v>0</v>
      </c>
      <c r="G71" s="66">
        <v>0</v>
      </c>
      <c r="H71" s="66">
        <v>0</v>
      </c>
      <c r="I71" s="66">
        <v>0</v>
      </c>
      <c r="J71" s="66">
        <v>0</v>
      </c>
      <c r="K71" s="66">
        <v>0</v>
      </c>
      <c r="L71" s="66">
        <v>0</v>
      </c>
      <c r="M71" s="66">
        <v>0</v>
      </c>
      <c r="N71" s="66">
        <v>0</v>
      </c>
      <c r="O71" s="66">
        <v>0</v>
      </c>
      <c r="P71" s="66">
        <v>0</v>
      </c>
      <c r="Q71" s="66">
        <v>0</v>
      </c>
      <c r="R71" s="66">
        <v>0</v>
      </c>
      <c r="S71" s="96">
        <v>0</v>
      </c>
      <c r="T71" s="89" t="s">
        <v>127</v>
      </c>
    </row>
    <row r="72" spans="1:21" ht="78.75" x14ac:dyDescent="0.25">
      <c r="A72" s="36" t="s">
        <v>115</v>
      </c>
      <c r="B72" s="61" t="s">
        <v>116</v>
      </c>
      <c r="C72" s="52" t="s">
        <v>51</v>
      </c>
      <c r="D72" s="73">
        <v>0</v>
      </c>
      <c r="E72" s="73">
        <v>0</v>
      </c>
      <c r="F72" s="73">
        <v>0</v>
      </c>
      <c r="G72" s="73">
        <v>0</v>
      </c>
      <c r="H72" s="73">
        <v>0</v>
      </c>
      <c r="I72" s="73">
        <v>0</v>
      </c>
      <c r="J72" s="73">
        <v>0</v>
      </c>
      <c r="K72" s="73">
        <v>0</v>
      </c>
      <c r="L72" s="73">
        <v>0</v>
      </c>
      <c r="M72" s="73">
        <v>0</v>
      </c>
      <c r="N72" s="73">
        <v>0</v>
      </c>
      <c r="O72" s="73">
        <v>0</v>
      </c>
      <c r="P72" s="73">
        <v>0</v>
      </c>
      <c r="Q72" s="73">
        <v>0</v>
      </c>
      <c r="R72" s="73">
        <v>0</v>
      </c>
      <c r="S72" s="91">
        <v>0</v>
      </c>
      <c r="T72" s="88" t="s">
        <v>127</v>
      </c>
    </row>
    <row r="73" spans="1:21" ht="63" x14ac:dyDescent="0.25">
      <c r="A73" s="36" t="s">
        <v>117</v>
      </c>
      <c r="B73" s="61" t="s">
        <v>118</v>
      </c>
      <c r="C73" s="52" t="s">
        <v>51</v>
      </c>
      <c r="D73" s="73">
        <v>0</v>
      </c>
      <c r="E73" s="73">
        <v>0</v>
      </c>
      <c r="F73" s="73">
        <v>0</v>
      </c>
      <c r="G73" s="73">
        <v>0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3">
        <v>0</v>
      </c>
      <c r="P73" s="73">
        <v>0</v>
      </c>
      <c r="Q73" s="73">
        <v>0</v>
      </c>
      <c r="R73" s="73">
        <v>0</v>
      </c>
      <c r="S73" s="91">
        <v>0</v>
      </c>
      <c r="T73" s="88" t="s">
        <v>127</v>
      </c>
    </row>
    <row r="74" spans="1:21" ht="47.25" x14ac:dyDescent="0.25">
      <c r="A74" s="64" t="s">
        <v>37</v>
      </c>
      <c r="B74" s="63" t="s">
        <v>119</v>
      </c>
      <c r="C74" s="35" t="s">
        <v>51</v>
      </c>
      <c r="D74" s="78">
        <v>0</v>
      </c>
      <c r="E74" s="78">
        <v>0</v>
      </c>
      <c r="F74" s="78">
        <v>0</v>
      </c>
      <c r="G74" s="78">
        <v>0</v>
      </c>
      <c r="H74" s="78">
        <v>0</v>
      </c>
      <c r="I74" s="78">
        <v>0</v>
      </c>
      <c r="J74" s="78">
        <v>0</v>
      </c>
      <c r="K74" s="78">
        <v>0</v>
      </c>
      <c r="L74" s="78">
        <v>0</v>
      </c>
      <c r="M74" s="78">
        <v>0</v>
      </c>
      <c r="N74" s="78">
        <v>0</v>
      </c>
      <c r="O74" s="78">
        <v>0</v>
      </c>
      <c r="P74" s="78">
        <v>0</v>
      </c>
      <c r="Q74" s="78">
        <v>0</v>
      </c>
      <c r="R74" s="78">
        <v>0</v>
      </c>
      <c r="S74" s="96">
        <v>0</v>
      </c>
      <c r="T74" s="84" t="s">
        <v>127</v>
      </c>
    </row>
    <row r="75" spans="1:21" ht="47.25" x14ac:dyDescent="0.25">
      <c r="A75" s="34" t="s">
        <v>120</v>
      </c>
      <c r="B75" s="65" t="s">
        <v>121</v>
      </c>
      <c r="C75" s="66" t="s">
        <v>51</v>
      </c>
      <c r="D75" s="79">
        <v>0</v>
      </c>
      <c r="E75" s="79">
        <v>0</v>
      </c>
      <c r="F75" s="79">
        <v>0</v>
      </c>
      <c r="G75" s="79">
        <v>0</v>
      </c>
      <c r="H75" s="79">
        <v>0</v>
      </c>
      <c r="I75" s="79">
        <v>0</v>
      </c>
      <c r="J75" s="79">
        <v>0</v>
      </c>
      <c r="K75" s="79">
        <v>0</v>
      </c>
      <c r="L75" s="79">
        <v>0</v>
      </c>
      <c r="M75" s="79">
        <v>0</v>
      </c>
      <c r="N75" s="79">
        <v>0</v>
      </c>
      <c r="O75" s="79">
        <v>0</v>
      </c>
      <c r="P75" s="79">
        <v>0</v>
      </c>
      <c r="Q75" s="79">
        <v>0</v>
      </c>
      <c r="R75" s="79">
        <v>0</v>
      </c>
      <c r="S75" s="96">
        <v>0</v>
      </c>
      <c r="T75" s="84" t="s">
        <v>127</v>
      </c>
    </row>
    <row r="76" spans="1:21" ht="31.5" x14ac:dyDescent="0.25">
      <c r="A76" s="64" t="s">
        <v>38</v>
      </c>
      <c r="B76" s="63" t="s">
        <v>122</v>
      </c>
      <c r="C76" s="35" t="s">
        <v>51</v>
      </c>
      <c r="D76" s="78">
        <f>SUM(D77:D80)</f>
        <v>33.601999999999997</v>
      </c>
      <c r="E76" s="78">
        <f>SUM(E77:E80)</f>
        <v>5.2089999999999996</v>
      </c>
      <c r="F76" s="78">
        <f>SUM(F77:F80)</f>
        <v>28.392999999999997</v>
      </c>
      <c r="G76" s="78">
        <f>SUM(G77:G80)</f>
        <v>5.6870000000000003</v>
      </c>
      <c r="H76" s="78">
        <f>SUM(H77:H80)</f>
        <v>12.875429110000001</v>
      </c>
      <c r="I76" s="78">
        <f>SUM(I77:I80)</f>
        <v>0</v>
      </c>
      <c r="J76" s="78">
        <f>SUM(J77:J80)</f>
        <v>0.36749999999999999</v>
      </c>
      <c r="K76" s="78">
        <f>SUM(K77:K80)</f>
        <v>0</v>
      </c>
      <c r="L76" s="78">
        <f>SUM(L77:L80)</f>
        <v>9.4240244700000009</v>
      </c>
      <c r="M76" s="78">
        <f>SUM(M77:M80)</f>
        <v>5.6870000000000003</v>
      </c>
      <c r="N76" s="78">
        <f>SUM(N77:N80)</f>
        <v>3.0839046400000001</v>
      </c>
      <c r="O76" s="78">
        <f>SUM(O77:O80)</f>
        <v>0</v>
      </c>
      <c r="P76" s="78">
        <f>SUM(P77:P80)</f>
        <v>0</v>
      </c>
      <c r="Q76" s="78">
        <f>SUM(Q77:Q80)</f>
        <v>15.51757089</v>
      </c>
      <c r="R76" s="95">
        <f>SUM(R77:R80)</f>
        <v>7.1884291100000004</v>
      </c>
      <c r="S76" s="96">
        <f t="shared" ref="S76:S77" si="39">R76/G76*100</f>
        <v>126.40107455600493</v>
      </c>
      <c r="T76" s="84" t="s">
        <v>127</v>
      </c>
    </row>
    <row r="77" spans="1:21" ht="126" x14ac:dyDescent="0.25">
      <c r="A77" s="58" t="s">
        <v>38</v>
      </c>
      <c r="B77" s="48" t="s">
        <v>123</v>
      </c>
      <c r="C77" s="67" t="s">
        <v>124</v>
      </c>
      <c r="D77" s="19">
        <v>9.0030000000000001</v>
      </c>
      <c r="E77" s="70">
        <v>0</v>
      </c>
      <c r="F77" s="70">
        <f t="shared" ref="F77:F79" si="40">D77-E77</f>
        <v>9.0030000000000001</v>
      </c>
      <c r="G77" s="70">
        <f t="shared" ref="G77:H80" si="41">I77+K77+M77+O77</f>
        <v>5.6870000000000003</v>
      </c>
      <c r="H77" s="70">
        <f t="shared" si="41"/>
        <v>0</v>
      </c>
      <c r="I77" s="70">
        <v>0</v>
      </c>
      <c r="J77" s="70">
        <v>0</v>
      </c>
      <c r="K77" s="70">
        <v>0</v>
      </c>
      <c r="L77" s="70">
        <v>0</v>
      </c>
      <c r="M77" s="70">
        <v>5.6870000000000003</v>
      </c>
      <c r="N77" s="70">
        <v>0</v>
      </c>
      <c r="O77" s="70">
        <v>0</v>
      </c>
      <c r="P77" s="70">
        <v>0</v>
      </c>
      <c r="Q77" s="70">
        <f t="shared" ref="Q77:Q80" si="42">F77-H77</f>
        <v>9.0030000000000001</v>
      </c>
      <c r="R77" s="90">
        <f t="shared" ref="R77:R80" si="43">H77-(I77+K77+M77)</f>
        <v>-5.6870000000000003</v>
      </c>
      <c r="S77" s="92">
        <f t="shared" si="39"/>
        <v>-100</v>
      </c>
      <c r="T77" s="104" t="s">
        <v>137</v>
      </c>
    </row>
    <row r="78" spans="1:21" ht="220.5" x14ac:dyDescent="0.25">
      <c r="A78" s="58" t="s">
        <v>38</v>
      </c>
      <c r="B78" s="48" t="s">
        <v>130</v>
      </c>
      <c r="C78" s="67" t="s">
        <v>131</v>
      </c>
      <c r="D78" s="20">
        <v>10</v>
      </c>
      <c r="E78" s="74">
        <v>0.158</v>
      </c>
      <c r="F78" s="20">
        <f t="shared" si="40"/>
        <v>9.8420000000000005</v>
      </c>
      <c r="G78" s="74">
        <f t="shared" si="41"/>
        <v>0</v>
      </c>
      <c r="H78" s="70">
        <f t="shared" si="41"/>
        <v>3.30786464</v>
      </c>
      <c r="I78" s="74">
        <v>0</v>
      </c>
      <c r="J78" s="70">
        <f>367500/1000000</f>
        <v>0.36749999999999999</v>
      </c>
      <c r="K78" s="74">
        <v>0</v>
      </c>
      <c r="L78" s="74">
        <v>0</v>
      </c>
      <c r="M78" s="74">
        <v>0</v>
      </c>
      <c r="N78" s="74">
        <v>2.9403646399999999</v>
      </c>
      <c r="O78" s="74">
        <v>0</v>
      </c>
      <c r="P78" s="74">
        <v>0</v>
      </c>
      <c r="Q78" s="74">
        <f t="shared" si="42"/>
        <v>6.5341353600000005</v>
      </c>
      <c r="R78" s="90">
        <f t="shared" si="43"/>
        <v>3.30786464</v>
      </c>
      <c r="S78" s="92" t="s">
        <v>127</v>
      </c>
      <c r="T78" s="104" t="s">
        <v>161</v>
      </c>
    </row>
    <row r="79" spans="1:21" ht="173.25" x14ac:dyDescent="0.25">
      <c r="A79" s="68" t="s">
        <v>38</v>
      </c>
      <c r="B79" s="48" t="s">
        <v>125</v>
      </c>
      <c r="C79" s="67" t="s">
        <v>126</v>
      </c>
      <c r="D79" s="74">
        <v>4.4489999999999998</v>
      </c>
      <c r="E79" s="74">
        <v>3.0550000000000002</v>
      </c>
      <c r="F79" s="74">
        <f t="shared" si="40"/>
        <v>1.3939999999999997</v>
      </c>
      <c r="G79" s="74">
        <f t="shared" si="41"/>
        <v>0</v>
      </c>
      <c r="H79" s="70">
        <f t="shared" si="41"/>
        <v>1.41441193</v>
      </c>
      <c r="I79" s="74">
        <v>0</v>
      </c>
      <c r="J79" s="70">
        <v>0</v>
      </c>
      <c r="K79" s="74">
        <v>0</v>
      </c>
      <c r="L79" s="108">
        <f>0.16120885+0.2587596+0.85090348</f>
        <v>1.27087193</v>
      </c>
      <c r="M79" s="74">
        <v>0</v>
      </c>
      <c r="N79" s="74">
        <v>0.14354</v>
      </c>
      <c r="O79" s="74">
        <v>0</v>
      </c>
      <c r="P79" s="74">
        <v>0</v>
      </c>
      <c r="Q79" s="74">
        <f t="shared" si="42"/>
        <v>-2.04119300000003E-2</v>
      </c>
      <c r="R79" s="90">
        <f t="shared" si="43"/>
        <v>1.41441193</v>
      </c>
      <c r="S79" s="92">
        <v>0</v>
      </c>
      <c r="T79" s="104" t="s">
        <v>168</v>
      </c>
      <c r="U79" s="2" t="s">
        <v>167</v>
      </c>
    </row>
    <row r="80" spans="1:21" ht="47.25" x14ac:dyDescent="0.25">
      <c r="A80" s="68" t="s">
        <v>38</v>
      </c>
      <c r="B80" s="48" t="s">
        <v>147</v>
      </c>
      <c r="C80" s="67" t="s">
        <v>148</v>
      </c>
      <c r="D80" s="74">
        <v>10.15</v>
      </c>
      <c r="E80" s="74">
        <v>1.996</v>
      </c>
      <c r="F80" s="74">
        <f t="shared" ref="F80" si="44">D80-E80</f>
        <v>8.1539999999999999</v>
      </c>
      <c r="G80" s="74">
        <f t="shared" si="41"/>
        <v>0</v>
      </c>
      <c r="H80" s="70">
        <f t="shared" si="41"/>
        <v>8.1531525400000007</v>
      </c>
      <c r="I80" s="74">
        <v>0</v>
      </c>
      <c r="J80" s="70">
        <v>0</v>
      </c>
      <c r="K80" s="74">
        <v>0</v>
      </c>
      <c r="L80" s="108">
        <f>8.15315254</f>
        <v>8.1531525400000007</v>
      </c>
      <c r="M80" s="74">
        <v>0</v>
      </c>
      <c r="N80" s="74">
        <v>0</v>
      </c>
      <c r="O80" s="74">
        <v>0</v>
      </c>
      <c r="P80" s="74">
        <v>0</v>
      </c>
      <c r="Q80" s="74">
        <f t="shared" si="42"/>
        <v>8.4745999999924493E-4</v>
      </c>
      <c r="R80" s="90">
        <f t="shared" si="43"/>
        <v>8.1531525400000007</v>
      </c>
      <c r="S80" s="92">
        <v>0</v>
      </c>
      <c r="T80" s="104" t="s">
        <v>157</v>
      </c>
    </row>
    <row r="81" spans="1:22" s="101" customFormat="1" x14ac:dyDescent="0.25">
      <c r="A81" s="123" t="s">
        <v>15</v>
      </c>
      <c r="B81" s="124"/>
      <c r="C81" s="125"/>
      <c r="D81" s="99"/>
      <c r="E81" s="98">
        <f>E19</f>
        <v>31.908544759999998</v>
      </c>
      <c r="F81" s="98">
        <f t="shared" ref="F81:T81" si="45">F19</f>
        <v>112.98520825</v>
      </c>
      <c r="G81" s="69">
        <f t="shared" si="45"/>
        <v>22.081000000000003</v>
      </c>
      <c r="H81" s="69">
        <f t="shared" si="45"/>
        <v>31.930654169999997</v>
      </c>
      <c r="I81" s="69">
        <f t="shared" si="45"/>
        <v>3.1060000000000003</v>
      </c>
      <c r="J81" s="69">
        <f t="shared" si="45"/>
        <v>1.48319998</v>
      </c>
      <c r="K81" s="69">
        <f t="shared" si="45"/>
        <v>7.0730000000000004</v>
      </c>
      <c r="L81" s="69">
        <f t="shared" si="45"/>
        <v>26.675842020000005</v>
      </c>
      <c r="M81" s="69">
        <f t="shared" si="45"/>
        <v>8.7940000000000005</v>
      </c>
      <c r="N81" s="69">
        <f t="shared" si="45"/>
        <v>3.77161217</v>
      </c>
      <c r="O81" s="69">
        <f t="shared" si="45"/>
        <v>3.1080000000000001</v>
      </c>
      <c r="P81" s="69">
        <f t="shared" si="45"/>
        <v>0</v>
      </c>
      <c r="Q81" s="98">
        <f t="shared" si="45"/>
        <v>81.054554080000003</v>
      </c>
      <c r="R81" s="69">
        <f t="shared" si="45"/>
        <v>12.957654169999998</v>
      </c>
      <c r="S81" s="100">
        <f t="shared" si="45"/>
        <v>58.682370227797634</v>
      </c>
      <c r="T81" s="69" t="str">
        <f t="shared" si="45"/>
        <v>нд</v>
      </c>
    </row>
    <row r="82" spans="1:22" x14ac:dyDescent="0.25">
      <c r="A82" s="3"/>
      <c r="B82" s="3"/>
      <c r="C82" s="3"/>
      <c r="G82" s="3"/>
      <c r="H82" s="3"/>
      <c r="I82" s="3"/>
      <c r="J82" s="3"/>
      <c r="K82" s="3"/>
      <c r="L82" s="3"/>
      <c r="M82" s="3"/>
      <c r="N82" s="3"/>
      <c r="O82" s="3"/>
      <c r="P82" s="3"/>
      <c r="R82" s="3"/>
      <c r="S82" s="3"/>
      <c r="T82" s="3"/>
      <c r="U82" s="3"/>
      <c r="V82" s="3"/>
    </row>
    <row r="93" spans="1:22" x14ac:dyDescent="0.25">
      <c r="O93" s="2" t="s">
        <v>43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81:C81"/>
    <mergeCell ref="G15:P15"/>
    <mergeCell ref="E15:E17"/>
    <mergeCell ref="F15:F17"/>
    <mergeCell ref="Q15:Q17"/>
    <mergeCell ref="R15:S15"/>
    <mergeCell ref="T15:T17"/>
    <mergeCell ref="R16:R17"/>
    <mergeCell ref="S16:S17"/>
    <mergeCell ref="A13:T13"/>
    <mergeCell ref="O16:P16"/>
    <mergeCell ref="M16:N16"/>
    <mergeCell ref="K16:L16"/>
    <mergeCell ref="I16:J16"/>
    <mergeCell ref="G16:H16"/>
    <mergeCell ref="C15:C17"/>
    <mergeCell ref="B15:B17"/>
    <mergeCell ref="A15:A17"/>
    <mergeCell ref="D15:D17"/>
    <mergeCell ref="A12:T12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45" fitToHeight="0" orientation="landscape" r:id="rId2"/>
  <headerFooter alignWithMargins="0"/>
  <ignoredErrors>
    <ignoredError sqref="D59:P59 I37:S37" formulaRange="1"/>
    <ignoredError sqref="E40" formula="1"/>
    <ignoredError sqref="L79:L80" unlockedFormula="1"/>
  </ignoredError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 Финансирование</vt:lpstr>
      <vt:lpstr>'10кв Финансирование'!Область_печати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Гаврилова Анастасия</cp:lastModifiedBy>
  <cp:lastPrinted>2018-12-06T04:23:30Z</cp:lastPrinted>
  <dcterms:created xsi:type="dcterms:W3CDTF">2009-07-27T10:10:26Z</dcterms:created>
  <dcterms:modified xsi:type="dcterms:W3CDTF">2019-10-17T05:52:44Z</dcterms:modified>
</cp:coreProperties>
</file>