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4400" windowHeight="12795" tabRatio="796"/>
  </bookViews>
  <sheets>
    <sheet name="12кв Освоение" sheetId="12" r:id="rId1"/>
  </sheets>
  <definedNames>
    <definedName name="Z_500C2F4F_1743_499A_A051_20565DBF52B2_.wvu.PrintArea" localSheetId="0" hidden="1">'12кв Освоение'!$A$1:$V$82</definedName>
    <definedName name="_xlnm.Print_Area" localSheetId="0">'12кв Освоение'!$A$1:$V$82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O47" i="12" l="1"/>
  <c r="O46" i="12"/>
  <c r="O43" i="12"/>
  <c r="O41" i="12"/>
  <c r="R77" i="12" l="1"/>
  <c r="Q77" i="12"/>
  <c r="P77" i="12"/>
  <c r="O77" i="12"/>
  <c r="N77" i="12"/>
  <c r="L77" i="12"/>
  <c r="J77" i="12"/>
  <c r="E77" i="12"/>
  <c r="M39" i="12" l="1"/>
  <c r="M47" i="12" l="1"/>
  <c r="M46" i="12" l="1"/>
  <c r="M45" i="12" l="1"/>
  <c r="M44" i="12" l="1"/>
  <c r="M43" i="12" l="1"/>
  <c r="M41" i="12" l="1"/>
  <c r="K42" i="12" l="1"/>
  <c r="K46" i="12"/>
  <c r="K47" i="12"/>
  <c r="K41" i="12"/>
  <c r="K44" i="12"/>
  <c r="M80" i="12"/>
  <c r="M77" i="12" s="1"/>
  <c r="M81" i="12"/>
  <c r="K80" i="12" l="1"/>
  <c r="K77" i="12" s="1"/>
  <c r="I42" i="12"/>
  <c r="H42" i="12"/>
  <c r="S42" i="12" l="1"/>
  <c r="T42" i="12"/>
  <c r="K45" i="12"/>
  <c r="K43" i="12"/>
  <c r="G56" i="12" l="1"/>
  <c r="E40" i="12" l="1"/>
  <c r="E39" i="12"/>
  <c r="Q55" i="12"/>
  <c r="P55" i="12"/>
  <c r="O55" i="12"/>
  <c r="N55" i="12"/>
  <c r="M55" i="12"/>
  <c r="K55" i="12"/>
  <c r="J55" i="12"/>
  <c r="G55" i="12"/>
  <c r="E55" i="12"/>
  <c r="S56" i="12"/>
  <c r="S55" i="12" s="1"/>
  <c r="L56" i="12"/>
  <c r="L55" i="12" s="1"/>
  <c r="I56" i="12"/>
  <c r="P61" i="12"/>
  <c r="N61" i="12"/>
  <c r="L61" i="12"/>
  <c r="J61" i="12"/>
  <c r="P62" i="12"/>
  <c r="N62" i="12"/>
  <c r="L62" i="12"/>
  <c r="J62" i="12"/>
  <c r="G79" i="12"/>
  <c r="G81" i="12"/>
  <c r="T62" i="12" l="1"/>
  <c r="T61" i="12"/>
  <c r="I55" i="12"/>
  <c r="T56" i="12"/>
  <c r="T55" i="12" s="1"/>
  <c r="H56" i="12"/>
  <c r="H55" i="12" s="1"/>
  <c r="H61" i="12"/>
  <c r="H62" i="12"/>
  <c r="I81" i="12" l="1"/>
  <c r="T81" i="12" s="1"/>
  <c r="H81" i="12"/>
  <c r="S81" i="12" l="1"/>
  <c r="I47" i="12" l="1"/>
  <c r="T47" i="12" s="1"/>
  <c r="I46" i="12"/>
  <c r="I45" i="12"/>
  <c r="T45" i="12" s="1"/>
  <c r="I44" i="12"/>
  <c r="T44" i="12" s="1"/>
  <c r="H47" i="12"/>
  <c r="H46" i="12"/>
  <c r="H45" i="12"/>
  <c r="H44" i="12"/>
  <c r="Q38" i="12"/>
  <c r="P38" i="12"/>
  <c r="O38" i="12"/>
  <c r="N38" i="12"/>
  <c r="M38" i="12"/>
  <c r="L38" i="12"/>
  <c r="K38" i="12"/>
  <c r="J38" i="12"/>
  <c r="T46" i="12" l="1"/>
  <c r="S46" i="12"/>
  <c r="S44" i="12"/>
  <c r="S45" i="12"/>
  <c r="S47" i="12"/>
  <c r="I79" i="12"/>
  <c r="T79" i="12" s="1"/>
  <c r="H79" i="12"/>
  <c r="D79" i="12"/>
  <c r="R52" i="12"/>
  <c r="Q52" i="12"/>
  <c r="P52" i="12"/>
  <c r="O52" i="12"/>
  <c r="N52" i="12"/>
  <c r="M52" i="12"/>
  <c r="L52" i="12"/>
  <c r="K52" i="12"/>
  <c r="J52" i="12"/>
  <c r="F52" i="12"/>
  <c r="E52" i="12"/>
  <c r="I53" i="12"/>
  <c r="T53" i="12" s="1"/>
  <c r="H53" i="12"/>
  <c r="H52" i="12" s="1"/>
  <c r="G52" i="12"/>
  <c r="D53" i="12"/>
  <c r="D52" i="12" s="1"/>
  <c r="F38" i="12"/>
  <c r="I43" i="12"/>
  <c r="T43" i="12" s="1"/>
  <c r="I41" i="12"/>
  <c r="T41" i="12" s="1"/>
  <c r="H43" i="12"/>
  <c r="H41" i="12"/>
  <c r="S41" i="12" l="1"/>
  <c r="S79" i="12"/>
  <c r="S53" i="12"/>
  <c r="S52" i="12" s="1"/>
  <c r="T52" i="12"/>
  <c r="I52" i="12"/>
  <c r="S43" i="12"/>
  <c r="V82" i="12"/>
  <c r="R82" i="12"/>
  <c r="F82" i="12"/>
  <c r="V21" i="12"/>
  <c r="U21" i="12"/>
  <c r="V22" i="12"/>
  <c r="V23" i="12"/>
  <c r="V24" i="12"/>
  <c r="U24" i="12"/>
  <c r="T24" i="12"/>
  <c r="V25" i="12"/>
  <c r="U25" i="12"/>
  <c r="T25" i="12"/>
  <c r="V26" i="12"/>
  <c r="I80" i="12"/>
  <c r="T80" i="12" s="1"/>
  <c r="I78" i="12"/>
  <c r="U72" i="12"/>
  <c r="U23" i="12" s="1"/>
  <c r="T72" i="12"/>
  <c r="T23" i="12" s="1"/>
  <c r="S72" i="12"/>
  <c r="Q72" i="12"/>
  <c r="P72" i="12"/>
  <c r="O72" i="12"/>
  <c r="N72" i="12"/>
  <c r="M72" i="12"/>
  <c r="L72" i="12"/>
  <c r="K72" i="12"/>
  <c r="J72" i="12"/>
  <c r="I72" i="12"/>
  <c r="H72" i="12"/>
  <c r="G72" i="12"/>
  <c r="E72" i="12"/>
  <c r="D72" i="12"/>
  <c r="T69" i="12"/>
  <c r="S69" i="12"/>
  <c r="Q69" i="12"/>
  <c r="P69" i="12"/>
  <c r="O69" i="12"/>
  <c r="N69" i="12"/>
  <c r="M69" i="12"/>
  <c r="L69" i="12"/>
  <c r="K69" i="12"/>
  <c r="J69" i="12"/>
  <c r="I69" i="12"/>
  <c r="H69" i="12"/>
  <c r="G69" i="12"/>
  <c r="E69" i="12"/>
  <c r="D69" i="12"/>
  <c r="T54" i="12"/>
  <c r="I77" i="12" l="1"/>
  <c r="T78" i="12"/>
  <c r="T77" i="12" s="1"/>
  <c r="S80" i="12"/>
  <c r="H78" i="12"/>
  <c r="H77" i="12" s="1"/>
  <c r="P26" i="12"/>
  <c r="O50" i="12"/>
  <c r="K50" i="12"/>
  <c r="E50" i="12"/>
  <c r="D50" i="12"/>
  <c r="D49" i="12" s="1"/>
  <c r="D22" i="12" s="1"/>
  <c r="T29" i="12"/>
  <c r="S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T33" i="12"/>
  <c r="S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D37" i="12"/>
  <c r="K37" i="12"/>
  <c r="I40" i="12"/>
  <c r="T40" i="12" s="1"/>
  <c r="I39" i="12"/>
  <c r="H40" i="12"/>
  <c r="H39" i="12"/>
  <c r="S54" i="12"/>
  <c r="S25" i="12"/>
  <c r="S24" i="12"/>
  <c r="S23" i="12"/>
  <c r="R22" i="12"/>
  <c r="R21" i="12"/>
  <c r="R26" i="12"/>
  <c r="R25" i="12"/>
  <c r="R24" i="12"/>
  <c r="R23" i="12"/>
  <c r="Q60" i="12"/>
  <c r="Q58" i="12" s="1"/>
  <c r="Q54" i="12"/>
  <c r="Q50" i="12"/>
  <c r="Q37" i="12"/>
  <c r="Q28" i="12" s="1"/>
  <c r="Q26" i="12"/>
  <c r="Q25" i="12"/>
  <c r="Q24" i="12"/>
  <c r="Q23" i="12"/>
  <c r="P60" i="12"/>
  <c r="P58" i="12" s="1"/>
  <c r="P54" i="12"/>
  <c r="P37" i="12"/>
  <c r="P25" i="12"/>
  <c r="P24" i="12"/>
  <c r="P23" i="12"/>
  <c r="O60" i="12"/>
  <c r="O58" i="12"/>
  <c r="O54" i="12"/>
  <c r="O37" i="12"/>
  <c r="O26" i="12"/>
  <c r="O25" i="12"/>
  <c r="O24" i="12"/>
  <c r="O23" i="12"/>
  <c r="N26" i="12"/>
  <c r="N60" i="12"/>
  <c r="N58" i="12" s="1"/>
  <c r="N54" i="12"/>
  <c r="N37" i="12"/>
  <c r="N28" i="12" s="1"/>
  <c r="N25" i="12"/>
  <c r="N24" i="12"/>
  <c r="N23" i="12"/>
  <c r="M60" i="12"/>
  <c r="M58" i="12" s="1"/>
  <c r="M54" i="12"/>
  <c r="M37" i="12"/>
  <c r="M28" i="12" s="1"/>
  <c r="M26" i="12"/>
  <c r="M25" i="12"/>
  <c r="M24" i="12"/>
  <c r="M23" i="12"/>
  <c r="L26" i="12"/>
  <c r="L60" i="12"/>
  <c r="L58" i="12" s="1"/>
  <c r="L54" i="12"/>
  <c r="L50" i="12"/>
  <c r="L37" i="12"/>
  <c r="L25" i="12"/>
  <c r="L24" i="12"/>
  <c r="L23" i="12"/>
  <c r="K60" i="12"/>
  <c r="K58" i="12" s="1"/>
  <c r="K54" i="12"/>
  <c r="K26" i="12"/>
  <c r="K25" i="12"/>
  <c r="K24" i="12"/>
  <c r="K23" i="12"/>
  <c r="J60" i="12"/>
  <c r="J58" i="12" s="1"/>
  <c r="J54" i="12"/>
  <c r="J50" i="12"/>
  <c r="J37" i="12"/>
  <c r="J28" i="12" s="1"/>
  <c r="J26" i="12"/>
  <c r="J25" i="12"/>
  <c r="J24" i="12"/>
  <c r="J23" i="12"/>
  <c r="I54" i="12"/>
  <c r="I25" i="12"/>
  <c r="I24" i="12"/>
  <c r="I23" i="12"/>
  <c r="H54" i="12"/>
  <c r="H25" i="12"/>
  <c r="H24" i="12"/>
  <c r="H23" i="12"/>
  <c r="G78" i="12"/>
  <c r="G77" i="12" s="1"/>
  <c r="F26" i="12"/>
  <c r="G62" i="12"/>
  <c r="S62" i="12" s="1"/>
  <c r="G61" i="12"/>
  <c r="S61" i="12" s="1"/>
  <c r="G54" i="12"/>
  <c r="G50" i="12"/>
  <c r="F22" i="12"/>
  <c r="G25" i="12"/>
  <c r="F25" i="12"/>
  <c r="G24" i="12"/>
  <c r="F24" i="12"/>
  <c r="G23" i="12"/>
  <c r="F23" i="12"/>
  <c r="E60" i="12"/>
  <c r="E58" i="12" s="1"/>
  <c r="E54" i="12"/>
  <c r="E26" i="12"/>
  <c r="E25" i="12"/>
  <c r="E24" i="12"/>
  <c r="E23" i="12"/>
  <c r="D78" i="12"/>
  <c r="D77" i="12" s="1"/>
  <c r="D54" i="12"/>
  <c r="D25" i="12"/>
  <c r="D24" i="12"/>
  <c r="D23" i="12"/>
  <c r="T39" i="12" l="1"/>
  <c r="T38" i="12" s="1"/>
  <c r="I38" i="12"/>
  <c r="I37" i="12" s="1"/>
  <c r="H38" i="12"/>
  <c r="H37" i="12" s="1"/>
  <c r="H28" i="12" s="1"/>
  <c r="S40" i="12"/>
  <c r="F28" i="12"/>
  <c r="L28" i="12"/>
  <c r="L21" i="12" s="1"/>
  <c r="T28" i="12"/>
  <c r="T21" i="12" s="1"/>
  <c r="D28" i="12"/>
  <c r="D21" i="12" s="1"/>
  <c r="P28" i="12"/>
  <c r="G38" i="12"/>
  <c r="G37" i="12" s="1"/>
  <c r="G28" i="12" s="1"/>
  <c r="G21" i="12" s="1"/>
  <c r="G60" i="12"/>
  <c r="G58" i="12" s="1"/>
  <c r="G49" i="12" s="1"/>
  <c r="G22" i="12" s="1"/>
  <c r="O49" i="12"/>
  <c r="O22" i="12" s="1"/>
  <c r="K28" i="12"/>
  <c r="K21" i="12" s="1"/>
  <c r="G26" i="12"/>
  <c r="S78" i="12"/>
  <c r="S77" i="12" s="1"/>
  <c r="O28" i="12"/>
  <c r="O21" i="12" s="1"/>
  <c r="D26" i="12"/>
  <c r="E38" i="12"/>
  <c r="E37" i="12" s="1"/>
  <c r="E28" i="12" s="1"/>
  <c r="E21" i="12" s="1"/>
  <c r="S39" i="12"/>
  <c r="S38" i="12" s="1"/>
  <c r="S37" i="12" s="1"/>
  <c r="S28" i="12" s="1"/>
  <c r="S21" i="12" s="1"/>
  <c r="T50" i="12"/>
  <c r="S50" i="12"/>
  <c r="E49" i="12"/>
  <c r="E22" i="12" s="1"/>
  <c r="K49" i="12"/>
  <c r="K22" i="12" s="1"/>
  <c r="N50" i="12"/>
  <c r="N49" i="12" s="1"/>
  <c r="N22" i="12" s="1"/>
  <c r="J49" i="12"/>
  <c r="J22" i="12" s="1"/>
  <c r="Q49" i="12"/>
  <c r="Q22" i="12" s="1"/>
  <c r="P21" i="12"/>
  <c r="H21" i="12"/>
  <c r="M21" i="12"/>
  <c r="Q21" i="12"/>
  <c r="N21" i="12"/>
  <c r="J21" i="12"/>
  <c r="P50" i="12"/>
  <c r="P49" i="12" s="1"/>
  <c r="P22" i="12" s="1"/>
  <c r="M50" i="12"/>
  <c r="M49" i="12" s="1"/>
  <c r="M22" i="12" s="1"/>
  <c r="I50" i="12"/>
  <c r="L49" i="12"/>
  <c r="L22" i="12" s="1"/>
  <c r="D20" i="12" l="1"/>
  <c r="D82" i="12" s="1"/>
  <c r="E20" i="12"/>
  <c r="E82" i="12" s="1"/>
  <c r="O20" i="12"/>
  <c r="O82" i="12" s="1"/>
  <c r="T26" i="12"/>
  <c r="K20" i="12"/>
  <c r="K82" i="12" s="1"/>
  <c r="L20" i="12"/>
  <c r="L82" i="12" s="1"/>
  <c r="J20" i="12"/>
  <c r="J82" i="12" s="1"/>
  <c r="Q20" i="12"/>
  <c r="Q82" i="12" s="1"/>
  <c r="G20" i="12"/>
  <c r="G82" i="12" s="1"/>
  <c r="I28" i="12"/>
  <c r="I21" i="12" s="1"/>
  <c r="H50" i="12"/>
  <c r="M20" i="12"/>
  <c r="M82" i="12" s="1"/>
  <c r="P20" i="12"/>
  <c r="P82" i="12" s="1"/>
  <c r="N20" i="12"/>
  <c r="N82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60" i="12" l="1"/>
  <c r="T58" i="12" s="1"/>
  <c r="T49" i="12" s="1"/>
  <c r="U49" i="12" s="1"/>
  <c r="I60" i="12"/>
  <c r="I58" i="12" s="1"/>
  <c r="I49" i="12" s="1"/>
  <c r="I22" i="12" s="1"/>
  <c r="H60" i="12"/>
  <c r="H58" i="12" s="1"/>
  <c r="H49" i="12" s="1"/>
  <c r="H22" i="12" s="1"/>
  <c r="S60" i="12"/>
  <c r="S58" i="12" s="1"/>
  <c r="S49" i="12" s="1"/>
  <c r="S22" i="12" s="1"/>
  <c r="H26" i="12"/>
  <c r="I26" i="12"/>
  <c r="U26" i="12"/>
  <c r="S26" i="12"/>
  <c r="I20" i="12" l="1"/>
  <c r="I82" i="12" s="1"/>
  <c r="S20" i="12"/>
  <c r="S82" i="12" s="1"/>
  <c r="H20" i="12"/>
  <c r="H82" i="12" s="1"/>
  <c r="U22" i="12"/>
  <c r="T22" i="12"/>
  <c r="T20" i="12" s="1"/>
  <c r="T82" i="12" l="1"/>
  <c r="U20" i="12"/>
  <c r="U82" i="12" s="1"/>
</calcChain>
</file>

<file path=xl/comments1.xml><?xml version="1.0" encoding="utf-8"?>
<comments xmlns="http://schemas.openxmlformats.org/spreadsheetml/2006/main">
  <authors>
    <author>Гаврилова Анастасия</author>
  </authors>
  <commentList>
    <comment ref="G47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без НДС</t>
        </r>
      </text>
    </comment>
  </commentList>
</comments>
</file>

<file path=xl/sharedStrings.xml><?xml version="1.0" encoding="utf-8"?>
<sst xmlns="http://schemas.openxmlformats.org/spreadsheetml/2006/main" count="404" uniqueCount="168">
  <si>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</si>
  <si>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</si>
  <si>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</si>
  <si>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</si>
  <si>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</si>
  <si>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</si>
  <si>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</si>
  <si>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</si>
  <si>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</si>
  <si>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</si>
  <si>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</si>
  <si>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</si>
  <si>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</si>
  <si>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</si>
  <si>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</si>
  <si>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</si>
  <si>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</si>
  <si>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</si>
  <si>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</si>
  <si>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</si>
  <si>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</si>
  <si>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</si>
  <si>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</si>
  <si>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</si>
  <si>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</si>
  <si>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</si>
  <si>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</si>
  <si>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</si>
  <si>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</si>
  <si>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</si>
  <si>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</si>
  <si>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</si>
  <si>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</si>
  <si>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</si>
  <si>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</si>
  <si>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</si>
  <si>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</si>
  <si>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</si>
  <si>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</si>
  <si>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</si>
  <si>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</si>
  <si>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1.6</t>
  </si>
  <si>
    <t>1.1.2.1</t>
  </si>
  <si>
    <t>1.1.2.2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</si>
  <si>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</si>
  <si>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</si>
  <si>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</si>
  <si>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</si>
  <si>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</si>
  <si>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</si>
  <si>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филиала "Дальневосточный" АО "Оборонэнерго"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</si>
  <si>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распоряжением Правительства Хабаровского края от 19 августа 2015 г. № 540-рп.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</si>
  <si>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</si>
  <si>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</si>
  <si>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</si>
  <si>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</si>
  <si>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</si>
  <si>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</si>
  <si>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</si>
  <si>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</si>
  <si>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</si>
  <si>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</si>
  <si>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</si>
  <si>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</si>
  <si>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</si>
  <si>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</si>
  <si>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</si>
  <si>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</si>
  <si>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</si>
  <si>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</si>
  <si>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</si>
  <si>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</si>
  <si>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</si>
  <si>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</si>
  <si>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</si>
  <si>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</si>
  <si>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</si>
  <si>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</si>
  <si>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</si>
  <si>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</si>
  <si>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</si>
  <si>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</si>
  <si>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</si>
  <si>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</si>
  <si>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</si>
  <si>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</si>
  <si>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</si>
  <si>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</si>
  <si>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</si>
  <si>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</si>
  <si>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</si>
  <si>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</si>
  <si>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</si>
  <si>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</si>
  <si>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</si>
  <si>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</si>
  <si>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</si>
  <si>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</si>
  <si>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</si>
  <si>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</si>
  <si>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</si>
  <si>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</si>
  <si>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</si>
  <si>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</si>
  <si>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</si>
  <si>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</si>
  <si>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</si>
  <si>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</si>
  <si>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</si>
  <si>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</si>
  <si>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</si>
  <si>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</si>
  <si>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</si>
  <si>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</si>
  <si>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</si>
  <si>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</si>
  <si>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</si>
  <si>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</si>
  <si>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</si>
  <si>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</si>
  <si>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</si>
  <si>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</si>
  <si>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</si>
  <si>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</si>
  <si>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КЛЭП-10 кВ </t>
    </r>
    <r>
      <rPr>
        <b/>
        <sz val="12"/>
        <rFont val="Times New Roman"/>
        <family val="1"/>
        <charset val="204"/>
      </rPr>
      <t>ТП-274-ТП-276</t>
    </r>
    <r>
      <rPr>
        <sz val="12"/>
        <rFont val="Times New Roman"/>
        <family val="1"/>
        <charset val="204"/>
      </rPr>
      <t>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прокладки в соленной (морской) воде)</t>
    </r>
  </si>
  <si>
    <t>I/ДЛВ/27/01/0151</t>
  </si>
  <si>
    <t>Приобретение имущества производственного назначения по Хабаровскому краю</t>
  </si>
  <si>
    <t>H/ДЛВ/27/03/0001</t>
  </si>
  <si>
    <t>нд</t>
  </si>
  <si>
    <t>н.д.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</si>
  <si>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</si>
  <si>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J/ДЛВ/27/01/0170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</si>
  <si>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</si>
  <si>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 xml:space="preserve">J/ДЛВ/27/01/0159 </t>
  </si>
  <si>
    <t>J/ДЛВ/27/05/0001</t>
  </si>
  <si>
    <t>J/ДЛВ/27/05/0003</t>
  </si>
  <si>
    <t>Строительство: ВЛЭП-10кВ иВЛЭп04кВ (в т.ч. столбовые ТП тех. присоединения объектов: жилые дома физ.лиц по адресу:Хаб.край, Бикинский р-н, район им. ЛАЗО (льготники)</t>
  </si>
  <si>
    <t>Строительство: ЛЭП6-10 кВ до 2КТПн-250/10/0,4кВ, 2 КТП-63/10/0,4 кВ, 2 КТП 63/10/0,4 кВ по адресу: Хаб.край, г. Хабаровск-47, в/ч 25025</t>
  </si>
  <si>
    <t>Выполнение работ планировалось в 2015 году, но несвоевременное  исполнение обязательств подрядной организации привело к затягиванию сроков. В настоящее время ведется судебное разбирательство.</t>
  </si>
  <si>
    <t>Выполнение работ планировалось в 2014 году, но несвоевременное  исполнение обязательств подрядной организации привело к затягиванию сроков. В настоящее время договор подряда расторгнут, доходный договор (Договор ТП) в процессе расторжения.</t>
  </si>
  <si>
    <t>Договоры на технологическое присоединение заключаются внепланово, по факту поданных заявок, а исполнение обязательств сетевой организацией перед заявителем ограничено сроком 4-6 месяцев. В связи с этим работы не могут быть запланированы преждевременно.</t>
  </si>
  <si>
    <t>J/ДЛВ/27/05/0004</t>
  </si>
  <si>
    <t>J/ДЛВ/27/05/0005</t>
  </si>
  <si>
    <t>J/ДЛВ/27/05/0006</t>
  </si>
  <si>
    <t>J/ДЛВ/27/05/0007</t>
  </si>
  <si>
    <t>выполнение обязательств перед заявителем</t>
  </si>
  <si>
    <t>Строительство: 2 КЛЭП6 кВ (аэродром "Дземги"Комсомольск)</t>
  </si>
  <si>
    <t>Строительство: 2 КЛЭП6 кВ (аэродром "Хабаровск" (Большой)</t>
  </si>
  <si>
    <t xml:space="preserve">Строительство: 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</si>
  <si>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Строительство: ВЛЭП-6кВ (Хабаровск)</t>
  </si>
  <si>
    <t>Приобретение МКМ (1 шт)</t>
  </si>
  <si>
    <t>J/ДЛВ/27/03/0002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</si>
  <si>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</si>
  <si>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t xml:space="preserve">Освоение капитальных вложений 2019 года, млн. рублей (без НДС) </t>
  </si>
  <si>
    <t xml:space="preserve">Фактический объем освоения капитальных вложений на  01.01.2019 год в прогнозных ценах соответствующих лет, млн. рублей 
(без НДС) </t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</si>
  <si>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</si>
  <si>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J/ДЛВ/27/01/01113</t>
  </si>
  <si>
    <t xml:space="preserve">Остаток освоения капитальных вложений 
на  01.01.2019 год,  
млн. рублей 
(без НДС) </t>
  </si>
  <si>
    <t>Ведется согласование закупочной процедуры на поставку материалов для выполнения работ</t>
  </si>
  <si>
    <t>Ведется мониторинг и поиск компаний, способных оказать  услуги по проектированию системы  автоматизированного учета электроэнергии: пред проектное обследование объектов, подготовку проектной и сметной документации, выполнения  функции генерального проектировщика проекта  АСКУЭ</t>
  </si>
  <si>
    <t>Укомплектование парка автомобильной техники. Работа включена в корректировку ИП на 2019 год.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</si>
  <si>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</si>
  <si>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J/ДЛВ/27/05/0002</t>
  </si>
  <si>
    <t>Выполнение обязательств перед заявителем. Работы по ПИР выполнены подрядной организацией в 2018 году, СМР выполнены хоз. способом.</t>
  </si>
  <si>
    <t>Работы по выполнению реконструкции объекта поданы в корректировку инвестиционной программы на 2018 год. В рассморении корректировки инвестиционной программы на 2018 год  отказано (уведомление Комитета по развитию ТЭК Правительства Хабаровского края от 24.04.2018 №12.3.47-10227). В 2018 г. Подрядной организацией выполнены работы по ПИР (окончательный расчет произведен в 1-ом квартале 2019 г.). Выполнение строительно-монтажных работ по данному объекту включены в корректировку ИП на 2019 год.</t>
  </si>
  <si>
    <t>Выполнены работы по ПИР. Строительно-монтажные  работы по данному объекту включены в корректировку ИП на 2019 год.</t>
  </si>
  <si>
    <t>за 3 квартал  2019 года</t>
  </si>
  <si>
    <t xml:space="preserve">произведена оплата за приобретенные в 1-ом квартале 2019 г. бензокусторез и перфораторы по договору централизованной поставки от 22.09.2017 № 57-2017; приобретены панели ЩО- 7 шт; произведена оплата  и ввод в эксплуатацию трансформаторов ТМГ-СЭЩ-250/10-11 УХЛ1 10/0,4 Y/Y и ТМГ-100 кВа 10/0,4 Y/Y-01 - 1 шт., закупленных для устранения аварий; закуплены и установлены в ТП панели ЩО - 7 шт.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</si>
</sst>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29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0" borderId="10" xfId="54" applyFont="1" applyBorder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0" xfId="37" applyFont="1" applyFill="1" applyAlignment="1"/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/>
    </xf>
    <xf numFmtId="0" fontId="29" fillId="0" borderId="10" xfId="54" applyFont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2" fontId="38" fillId="0" borderId="10" xfId="54" applyNumberFormat="1" applyFont="1" applyFill="1" applyBorder="1" applyAlignment="1">
      <alignment horizontal="center" vertical="center"/>
    </xf>
    <xf numFmtId="2" fontId="38" fillId="0" borderId="10" xfId="54" applyNumberFormat="1" applyFont="1" applyFill="1" applyBorder="1" applyAlignment="1">
      <alignment horizontal="center" vertical="center" wrapText="1"/>
    </xf>
    <xf numFmtId="2" fontId="38" fillId="0" borderId="10" xfId="54" applyNumberFormat="1" applyFont="1" applyBorder="1" applyAlignment="1">
      <alignment horizontal="center" vertical="center"/>
    </xf>
    <xf numFmtId="2" fontId="29" fillId="0" borderId="10" xfId="54" applyNumberFormat="1" applyFont="1" applyFill="1" applyBorder="1" applyAlignment="1">
      <alignment horizontal="center" vertical="center"/>
    </xf>
    <xf numFmtId="2" fontId="29" fillId="0" borderId="10" xfId="54" applyNumberFormat="1" applyFont="1" applyFill="1" applyBorder="1" applyAlignment="1">
      <alignment horizontal="center" vertical="center" wrapText="1"/>
    </xf>
    <xf numFmtId="2" fontId="29" fillId="0" borderId="10" xfId="54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39" fillId="0" borderId="10" xfId="0" applyNumberFormat="1" applyFont="1" applyFill="1" applyBorder="1" applyAlignment="1">
      <alignment horizontal="center" vertical="center" wrapText="1"/>
    </xf>
    <xf numFmtId="2" fontId="29" fillId="25" borderId="10" xfId="54" applyNumberFormat="1" applyFont="1" applyFill="1" applyBorder="1" applyAlignment="1">
      <alignment horizontal="center" vertical="center"/>
    </xf>
    <xf numFmtId="2" fontId="29" fillId="25" borderId="10" xfId="54" applyNumberFormat="1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49" fontId="29" fillId="25" borderId="10" xfId="54" applyNumberFormat="1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49" fontId="29" fillId="26" borderId="10" xfId="54" applyNumberFormat="1" applyFont="1" applyFill="1" applyBorder="1" applyAlignment="1">
      <alignment horizontal="center" vertical="center" wrapText="1"/>
    </xf>
    <xf numFmtId="2" fontId="29" fillId="26" borderId="10" xfId="54" applyNumberFormat="1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2" fontId="29" fillId="26" borderId="10" xfId="54" applyNumberFormat="1" applyFont="1" applyFill="1" applyBorder="1" applyAlignment="1">
      <alignment horizontal="center" vertical="center"/>
    </xf>
    <xf numFmtId="2" fontId="9" fillId="26" borderId="10" xfId="0" applyNumberFormat="1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 applyProtection="1">
      <alignment horizontal="left" vertical="center" wrapText="1"/>
    </xf>
    <xf numFmtId="0" fontId="29" fillId="0" borderId="10" xfId="54" applyFont="1" applyFill="1" applyBorder="1" applyAlignment="1">
      <alignment horizontal="center" vertical="center" wrapText="1"/>
    </xf>
    <xf numFmtId="2" fontId="29" fillId="27" borderId="10" xfId="54" applyNumberFormat="1" applyFont="1" applyFill="1" applyBorder="1" applyAlignment="1">
      <alignment horizontal="center" vertical="center"/>
    </xf>
    <xf numFmtId="2" fontId="29" fillId="27" borderId="10" xfId="54" applyNumberFormat="1" applyFont="1" applyFill="1" applyBorder="1" applyAlignment="1">
      <alignment horizontal="center" vertical="center" wrapText="1"/>
    </xf>
    <xf numFmtId="2" fontId="9" fillId="27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27" borderId="10" xfId="0" applyNumberFormat="1" applyFont="1" applyFill="1" applyBorder="1" applyAlignment="1">
      <alignment horizontal="left" vertical="center" wrapText="1"/>
    </xf>
    <xf numFmtId="0" fontId="29" fillId="27" borderId="10" xfId="54" applyFont="1" applyFill="1" applyBorder="1" applyAlignment="1">
      <alignment horizontal="center" vertical="center" wrapText="1"/>
    </xf>
    <xf numFmtId="49" fontId="29" fillId="26" borderId="10" xfId="54" applyNumberFormat="1" applyFont="1" applyFill="1" applyBorder="1" applyAlignment="1">
      <alignment horizontal="center" vertical="center"/>
    </xf>
    <xf numFmtId="0" fontId="29" fillId="26" borderId="10" xfId="54" applyFont="1" applyFill="1" applyBorder="1" applyAlignment="1">
      <alignment horizontal="center" vertical="center" wrapText="1"/>
    </xf>
    <xf numFmtId="49" fontId="29" fillId="27" borderId="10" xfId="54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 wrapText="1"/>
    </xf>
    <xf numFmtId="49" fontId="29" fillId="27" borderId="10" xfId="54" applyNumberFormat="1" applyFont="1" applyFill="1" applyBorder="1" applyAlignment="1">
      <alignment horizontal="center" vertical="center" wrapText="1"/>
    </xf>
    <xf numFmtId="0" fontId="29" fillId="27" borderId="10" xfId="54" applyFont="1" applyFill="1" applyBorder="1" applyAlignment="1">
      <alignment horizontal="center" vertical="center"/>
    </xf>
    <xf numFmtId="0" fontId="29" fillId="26" borderId="10" xfId="54" applyFont="1" applyFill="1" applyBorder="1" applyAlignment="1">
      <alignment horizontal="center" vertical="center"/>
    </xf>
    <xf numFmtId="49" fontId="29" fillId="0" borderId="10" xfId="54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left" vertical="center" wrapText="1"/>
    </xf>
    <xf numFmtId="168" fontId="29" fillId="27" borderId="10" xfId="54" applyNumberFormat="1" applyFont="1" applyFill="1" applyBorder="1" applyAlignment="1">
      <alignment horizontal="center" vertical="center" wrapText="1"/>
    </xf>
    <xf numFmtId="49" fontId="9" fillId="26" borderId="10" xfId="0" applyNumberFormat="1" applyFont="1" applyFill="1" applyBorder="1" applyAlignment="1">
      <alignment horizontal="left" vertical="center" wrapText="1"/>
    </xf>
    <xf numFmtId="49" fontId="9" fillId="25" borderId="10" xfId="0" applyNumberFormat="1" applyFont="1" applyFill="1" applyBorder="1" applyAlignment="1">
      <alignment horizontal="left" vertical="center" wrapText="1"/>
    </xf>
    <xf numFmtId="0" fontId="29" fillId="25" borderId="10" xfId="54" applyFont="1" applyFill="1" applyBorder="1" applyAlignment="1">
      <alignment horizontal="center" vertical="center" wrapText="1"/>
    </xf>
    <xf numFmtId="49" fontId="29" fillId="25" borderId="10" xfId="54" applyNumberFormat="1" applyFont="1" applyFill="1" applyBorder="1" applyAlignment="1">
      <alignment horizontal="center" vertical="center"/>
    </xf>
    <xf numFmtId="49" fontId="40" fillId="25" borderId="10" xfId="0" applyNumberFormat="1" applyFont="1" applyFill="1" applyBorder="1" applyAlignment="1" applyProtection="1">
      <alignment horizontal="left" vertical="center" wrapText="1"/>
    </xf>
    <xf numFmtId="168" fontId="9" fillId="25" borderId="10" xfId="0" applyNumberFormat="1" applyFont="1" applyFill="1" applyBorder="1" applyAlignment="1">
      <alignment horizontal="center" vertical="center" wrapText="1"/>
    </xf>
    <xf numFmtId="0" fontId="29" fillId="0" borderId="10" xfId="54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65" fontId="39" fillId="0" borderId="10" xfId="37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5" fontId="9" fillId="27" borderId="10" xfId="37" applyNumberFormat="1" applyFont="1" applyFill="1" applyBorder="1" applyAlignment="1">
      <alignment horizontal="center" vertical="center"/>
    </xf>
    <xf numFmtId="168" fontId="9" fillId="27" borderId="10" xfId="0" applyNumberFormat="1" applyFont="1" applyFill="1" applyBorder="1" applyAlignment="1">
      <alignment horizontal="center" vertical="center" wrapText="1"/>
    </xf>
    <xf numFmtId="168" fontId="9" fillId="25" borderId="10" xfId="37" applyNumberFormat="1" applyFont="1" applyFill="1" applyBorder="1" applyAlignment="1">
      <alignment horizontal="center" vertical="center"/>
    </xf>
    <xf numFmtId="0" fontId="9" fillId="0" borderId="10" xfId="37" applyFont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49" fontId="40" fillId="27" borderId="10" xfId="0" applyNumberFormat="1" applyFont="1" applyFill="1" applyBorder="1" applyAlignment="1" applyProtection="1">
      <alignment horizontal="left" vertical="center" wrapText="1"/>
    </xf>
    <xf numFmtId="165" fontId="39" fillId="24" borderId="10" xfId="37" applyNumberFormat="1" applyFont="1" applyFill="1" applyBorder="1" applyAlignment="1">
      <alignment horizontal="center" vertical="center" wrapText="1"/>
    </xf>
    <xf numFmtId="169" fontId="39" fillId="24" borderId="10" xfId="37" applyNumberFormat="1" applyFont="1" applyFill="1" applyBorder="1" applyAlignment="1">
      <alignment horizontal="center" vertical="center" wrapText="1"/>
    </xf>
    <xf numFmtId="0" fontId="39" fillId="24" borderId="10" xfId="37" applyFont="1" applyFill="1" applyBorder="1" applyAlignment="1">
      <alignment horizontal="center" vertical="center" wrapText="1"/>
    </xf>
    <xf numFmtId="0" fontId="39" fillId="24" borderId="0" xfId="37" applyFont="1" applyFill="1"/>
    <xf numFmtId="169" fontId="39" fillId="0" borderId="10" xfId="37" applyNumberFormat="1" applyFont="1" applyFill="1" applyBorder="1" applyAlignment="1">
      <alignment horizontal="center" vertical="center" wrapText="1"/>
    </xf>
    <xf numFmtId="165" fontId="39" fillId="0" borderId="10" xfId="37" applyNumberFormat="1" applyFont="1" applyBorder="1" applyAlignment="1">
      <alignment horizontal="center" vertical="center"/>
    </xf>
    <xf numFmtId="168" fontId="9" fillId="27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Border="1" applyAlignment="1">
      <alignment horizontal="center" vertical="center"/>
    </xf>
    <xf numFmtId="0" fontId="39" fillId="0" borderId="10" xfId="37" applyNumberFormat="1" applyFont="1" applyFill="1" applyBorder="1" applyAlignment="1">
      <alignment horizontal="center" vertical="center" wrapText="1"/>
    </xf>
    <xf numFmtId="0" fontId="39" fillId="0" borderId="10" xfId="37" applyNumberFormat="1" applyFont="1" applyBorder="1" applyAlignment="1">
      <alignment horizontal="center" vertical="center"/>
    </xf>
    <xf numFmtId="0" fontId="9" fillId="25" borderId="10" xfId="37" applyNumberFormat="1" applyFont="1" applyFill="1" applyBorder="1" applyAlignment="1">
      <alignment horizontal="center" vertical="center"/>
    </xf>
    <xf numFmtId="0" fontId="9" fillId="26" borderId="10" xfId="37" applyNumberFormat="1" applyFont="1" applyFill="1" applyBorder="1" applyAlignment="1">
      <alignment horizontal="center" vertical="center"/>
    </xf>
    <xf numFmtId="0" fontId="9" fillId="27" borderId="10" xfId="37" applyNumberFormat="1" applyFont="1" applyFill="1" applyBorder="1" applyAlignment="1">
      <alignment horizontal="center" vertical="center"/>
    </xf>
    <xf numFmtId="169" fontId="9" fillId="27" borderId="10" xfId="37" applyNumberFormat="1" applyFont="1" applyFill="1" applyBorder="1" applyAlignment="1">
      <alignment horizontal="center" vertical="center"/>
    </xf>
    <xf numFmtId="169" fontId="9" fillId="25" borderId="10" xfId="37" applyNumberFormat="1" applyFont="1" applyFill="1" applyBorder="1" applyAlignment="1">
      <alignment horizontal="center" vertical="center"/>
    </xf>
    <xf numFmtId="169" fontId="9" fillId="0" borderId="10" xfId="37" applyNumberFormat="1" applyFont="1" applyBorder="1" applyAlignment="1">
      <alignment horizontal="center" vertical="center"/>
    </xf>
    <xf numFmtId="169" fontId="9" fillId="26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 wrapText="1"/>
    </xf>
    <xf numFmtId="169" fontId="9" fillId="0" borderId="10" xfId="37" applyNumberFormat="1" applyFont="1" applyFill="1" applyBorder="1" applyAlignment="1">
      <alignment horizontal="center" vertical="center"/>
    </xf>
    <xf numFmtId="0" fontId="9" fillId="0" borderId="0" xfId="37" applyFont="1" applyFill="1"/>
    <xf numFmtId="165" fontId="40" fillId="0" borderId="10" xfId="0" applyNumberFormat="1" applyFont="1" applyFill="1" applyBorder="1" applyAlignment="1" applyProtection="1">
      <alignment horizontal="center" vertical="center" wrapText="1"/>
      <protection locked="0"/>
    </xf>
    <xf numFmtId="168" fontId="9" fillId="0" borderId="10" xfId="0" applyNumberFormat="1" applyFont="1" applyFill="1" applyBorder="1" applyAlignment="1">
      <alignment horizontal="center" vertical="center" wrapText="1"/>
    </xf>
    <xf numFmtId="0" fontId="9" fillId="0" borderId="10" xfId="37" applyNumberFormat="1" applyFont="1" applyFill="1" applyBorder="1" applyAlignment="1">
      <alignment horizontal="center" vertical="center"/>
    </xf>
    <xf numFmtId="0" fontId="39" fillId="24" borderId="12" xfId="37" applyFont="1" applyFill="1" applyBorder="1" applyAlignment="1">
      <alignment horizontal="center" vertical="center" wrapText="1"/>
    </xf>
    <xf numFmtId="0" fontId="39" fillId="24" borderId="23" xfId="37" applyFont="1" applyFill="1" applyBorder="1" applyAlignment="1">
      <alignment horizontal="center" vertical="center" wrapText="1"/>
    </xf>
    <xf numFmtId="0" fontId="39" fillId="24" borderId="17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</cellXfs>
  <cellStyles count="62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B82"/>
  <sheetViews>
    <sheetView tabSelected="1" view="pageBreakPreview" topLeftCell="A15" zoomScale="70" zoomScaleSheetLayoutView="70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O20" sqref="O20"/>
    </sheetView>
  </sheetViews>
  <sheetFormatPr defaultRowHeight="15.75" x14ac:dyDescent="0.25"/>
  <cols>
    <col min="1" max="1" width="13" style="2" customWidth="1"/>
    <col min="2" max="2" width="31.25" style="2" customWidth="1"/>
    <col min="3" max="3" width="16.375" style="2" customWidth="1"/>
    <col min="4" max="4" width="18" style="2" customWidth="1"/>
    <col min="5" max="5" width="17.5" style="2" customWidth="1"/>
    <col min="6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7.2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46</v>
      </c>
    </row>
    <row r="4" spans="1:28" s="5" customFormat="1" ht="18.75" x14ac:dyDescent="0.3">
      <c r="A4" s="111" t="s">
        <v>45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0"/>
      <c r="X4" s="10"/>
      <c r="Y4" s="10"/>
      <c r="Z4" s="10"/>
      <c r="AA4" s="10"/>
    </row>
    <row r="5" spans="1:28" s="5" customFormat="1" ht="18.75" x14ac:dyDescent="0.3">
      <c r="A5" s="112" t="s">
        <v>166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"/>
      <c r="X5" s="11"/>
      <c r="Y5" s="11"/>
      <c r="Z5" s="11"/>
      <c r="AA5" s="11"/>
      <c r="AB5" s="11"/>
    </row>
    <row r="6" spans="1:28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28" s="5" customFormat="1" ht="18.75" x14ac:dyDescent="0.3">
      <c r="A7" s="112" t="s">
        <v>50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"/>
      <c r="X7" s="11"/>
      <c r="Y7" s="11"/>
      <c r="Z7" s="11"/>
      <c r="AA7" s="11"/>
    </row>
    <row r="8" spans="1:28" x14ac:dyDescent="0.25">
      <c r="A8" s="113" t="s">
        <v>17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6"/>
      <c r="X8" s="6"/>
      <c r="Y8" s="6"/>
      <c r="Z8" s="6"/>
      <c r="AA8" s="6"/>
    </row>
    <row r="9" spans="1:28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8" ht="18.75" x14ac:dyDescent="0.3">
      <c r="A10" s="114" t="s">
        <v>152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3"/>
      <c r="X10" s="13"/>
      <c r="Y10" s="13"/>
      <c r="Z10" s="13"/>
      <c r="AA10" s="13"/>
    </row>
    <row r="11" spans="1:28" ht="18.75" x14ac:dyDescent="0.3">
      <c r="AA11" s="4"/>
    </row>
    <row r="12" spans="1:28" ht="18.75" x14ac:dyDescent="0.25">
      <c r="A12" s="115" t="s">
        <v>51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20"/>
      <c r="X12" s="20"/>
      <c r="Y12" s="20"/>
      <c r="Z12" s="14"/>
      <c r="AA12" s="14"/>
    </row>
    <row r="13" spans="1:28" x14ac:dyDescent="0.25">
      <c r="A13" s="113" t="s">
        <v>12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6"/>
      <c r="X13" s="6"/>
      <c r="Y13" s="6"/>
      <c r="Z13" s="6"/>
      <c r="AA13" s="6"/>
    </row>
    <row r="14" spans="1:28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21"/>
      <c r="X14" s="21"/>
      <c r="Y14" s="21"/>
      <c r="Z14" s="21"/>
    </row>
    <row r="15" spans="1:28" ht="88.5" customHeight="1" x14ac:dyDescent="0.25">
      <c r="A15" s="116" t="s">
        <v>11</v>
      </c>
      <c r="B15" s="109" t="s">
        <v>8</v>
      </c>
      <c r="C15" s="109" t="s">
        <v>2</v>
      </c>
      <c r="D15" s="116" t="s">
        <v>47</v>
      </c>
      <c r="E15" s="116" t="s">
        <v>154</v>
      </c>
      <c r="F15" s="109" t="s">
        <v>157</v>
      </c>
      <c r="G15" s="109"/>
      <c r="H15" s="123" t="s">
        <v>153</v>
      </c>
      <c r="I15" s="124"/>
      <c r="J15" s="124"/>
      <c r="K15" s="124"/>
      <c r="L15" s="124"/>
      <c r="M15" s="124"/>
      <c r="N15" s="124"/>
      <c r="O15" s="124"/>
      <c r="P15" s="124"/>
      <c r="Q15" s="125"/>
      <c r="R15" s="109" t="s">
        <v>49</v>
      </c>
      <c r="S15" s="109"/>
      <c r="T15" s="119" t="s">
        <v>44</v>
      </c>
      <c r="U15" s="120"/>
      <c r="V15" s="116" t="s">
        <v>3</v>
      </c>
    </row>
    <row r="16" spans="1:28" x14ac:dyDescent="0.25">
      <c r="A16" s="117"/>
      <c r="B16" s="109"/>
      <c r="C16" s="109"/>
      <c r="D16" s="117"/>
      <c r="E16" s="117"/>
      <c r="F16" s="110" t="s">
        <v>1</v>
      </c>
      <c r="G16" s="110" t="s">
        <v>7</v>
      </c>
      <c r="H16" s="109" t="s">
        <v>6</v>
      </c>
      <c r="I16" s="109"/>
      <c r="J16" s="109" t="s">
        <v>13</v>
      </c>
      <c r="K16" s="109"/>
      <c r="L16" s="109" t="s">
        <v>14</v>
      </c>
      <c r="M16" s="109"/>
      <c r="N16" s="119" t="s">
        <v>15</v>
      </c>
      <c r="O16" s="120"/>
      <c r="P16" s="119" t="s">
        <v>16</v>
      </c>
      <c r="Q16" s="120"/>
      <c r="R16" s="110" t="s">
        <v>1</v>
      </c>
      <c r="S16" s="110" t="s">
        <v>7</v>
      </c>
      <c r="T16" s="127"/>
      <c r="U16" s="128"/>
      <c r="V16" s="117"/>
    </row>
    <row r="17" spans="1:22" ht="36.75" customHeight="1" x14ac:dyDescent="0.25">
      <c r="A17" s="117"/>
      <c r="B17" s="109"/>
      <c r="C17" s="109"/>
      <c r="D17" s="117"/>
      <c r="E17" s="117"/>
      <c r="F17" s="110"/>
      <c r="G17" s="110"/>
      <c r="H17" s="109"/>
      <c r="I17" s="109"/>
      <c r="J17" s="109"/>
      <c r="K17" s="109"/>
      <c r="L17" s="109"/>
      <c r="M17" s="109"/>
      <c r="N17" s="121"/>
      <c r="O17" s="122"/>
      <c r="P17" s="121"/>
      <c r="Q17" s="122"/>
      <c r="R17" s="110"/>
      <c r="S17" s="110"/>
      <c r="T17" s="121"/>
      <c r="U17" s="122"/>
      <c r="V17" s="117"/>
    </row>
    <row r="18" spans="1:22" ht="36.75" customHeight="1" x14ac:dyDescent="0.25">
      <c r="A18" s="118"/>
      <c r="B18" s="109"/>
      <c r="C18" s="109"/>
      <c r="D18" s="118"/>
      <c r="E18" s="118"/>
      <c r="F18" s="110"/>
      <c r="G18" s="110"/>
      <c r="H18" s="9" t="s">
        <v>5</v>
      </c>
      <c r="I18" s="9" t="s">
        <v>9</v>
      </c>
      <c r="J18" s="9" t="s">
        <v>5</v>
      </c>
      <c r="K18" s="9" t="s">
        <v>9</v>
      </c>
      <c r="L18" s="9" t="s">
        <v>5</v>
      </c>
      <c r="M18" s="9" t="s">
        <v>9</v>
      </c>
      <c r="N18" s="16" t="s">
        <v>5</v>
      </c>
      <c r="O18" s="16" t="s">
        <v>9</v>
      </c>
      <c r="P18" s="16" t="s">
        <v>5</v>
      </c>
      <c r="Q18" s="16" t="s">
        <v>9</v>
      </c>
      <c r="R18" s="110"/>
      <c r="S18" s="110"/>
      <c r="T18" s="19" t="s">
        <v>48</v>
      </c>
      <c r="U18" s="15" t="s">
        <v>4</v>
      </c>
      <c r="V18" s="118"/>
    </row>
    <row r="19" spans="1:22" x14ac:dyDescent="0.25">
      <c r="A19" s="9">
        <v>1</v>
      </c>
      <c r="B19" s="9">
        <f>A19+1</f>
        <v>2</v>
      </c>
      <c r="C19" s="9">
        <f t="shared" ref="C19:V19" si="0">B19+1</f>
        <v>3</v>
      </c>
      <c r="D19" s="9">
        <f t="shared" si="0"/>
        <v>4</v>
      </c>
      <c r="E19" s="9">
        <f t="shared" si="0"/>
        <v>5</v>
      </c>
      <c r="F19" s="9">
        <f t="shared" si="0"/>
        <v>6</v>
      </c>
      <c r="G19" s="9">
        <f t="shared" si="0"/>
        <v>7</v>
      </c>
      <c r="H19" s="9">
        <f t="shared" si="0"/>
        <v>8</v>
      </c>
      <c r="I19" s="9">
        <f t="shared" si="0"/>
        <v>9</v>
      </c>
      <c r="J19" s="9">
        <f t="shared" si="0"/>
        <v>10</v>
      </c>
      <c r="K19" s="9">
        <f t="shared" si="0"/>
        <v>11</v>
      </c>
      <c r="L19" s="9">
        <f t="shared" si="0"/>
        <v>12</v>
      </c>
      <c r="M19" s="9">
        <f t="shared" si="0"/>
        <v>13</v>
      </c>
      <c r="N19" s="9">
        <f t="shared" si="0"/>
        <v>14</v>
      </c>
      <c r="O19" s="9">
        <f t="shared" si="0"/>
        <v>15</v>
      </c>
      <c r="P19" s="9">
        <f t="shared" si="0"/>
        <v>16</v>
      </c>
      <c r="Q19" s="9">
        <f t="shared" si="0"/>
        <v>17</v>
      </c>
      <c r="R19" s="9">
        <f t="shared" si="0"/>
        <v>18</v>
      </c>
      <c r="S19" s="9">
        <f t="shared" si="0"/>
        <v>19</v>
      </c>
      <c r="T19" s="9">
        <f t="shared" si="0"/>
        <v>20</v>
      </c>
      <c r="U19" s="9">
        <f t="shared" si="0"/>
        <v>21</v>
      </c>
      <c r="V19" s="9">
        <f t="shared" si="0"/>
        <v>22</v>
      </c>
    </row>
    <row r="20" spans="1:22" ht="31.5" x14ac:dyDescent="0.25">
      <c r="A20" s="27">
        <v>0</v>
      </c>
      <c r="B20" s="28" t="s">
        <v>18</v>
      </c>
      <c r="C20" s="29" t="s">
        <v>52</v>
      </c>
      <c r="D20" s="72">
        <f>D21+D22+D23+D24+D25+D26</f>
        <v>15.992915254237289</v>
      </c>
      <c r="E20" s="72">
        <f t="shared" ref="E20:T20" si="1">E21+E22+E23+E24+E25+E26</f>
        <v>20.943231796610167</v>
      </c>
      <c r="F20" s="72" t="s">
        <v>128</v>
      </c>
      <c r="G20" s="72">
        <f t="shared" si="1"/>
        <v>98.352971748870061</v>
      </c>
      <c r="H20" s="72">
        <f t="shared" si="1"/>
        <v>13.873333333333333</v>
      </c>
      <c r="I20" s="72">
        <f t="shared" si="1"/>
        <v>55.629934420000005</v>
      </c>
      <c r="J20" s="72">
        <f t="shared" si="1"/>
        <v>2.6408333333333336</v>
      </c>
      <c r="K20" s="72">
        <f t="shared" si="1"/>
        <v>0.84758153999999997</v>
      </c>
      <c r="L20" s="72">
        <f t="shared" si="1"/>
        <v>5.9466666666666672</v>
      </c>
      <c r="M20" s="72">
        <f t="shared" si="1"/>
        <v>53.974645349999996</v>
      </c>
      <c r="N20" s="72">
        <f t="shared" si="1"/>
        <v>2.6425000000000001</v>
      </c>
      <c r="O20" s="72">
        <f t="shared" si="1"/>
        <v>0.80770752999999995</v>
      </c>
      <c r="P20" s="72">
        <f t="shared" si="1"/>
        <v>2.6433333333333335</v>
      </c>
      <c r="Q20" s="72">
        <f t="shared" si="1"/>
        <v>0</v>
      </c>
      <c r="R20" s="72" t="s">
        <v>128</v>
      </c>
      <c r="S20" s="72">
        <f t="shared" si="1"/>
        <v>42.723037328870063</v>
      </c>
      <c r="T20" s="72">
        <f t="shared" si="1"/>
        <v>1.0491008299999987</v>
      </c>
      <c r="U20" s="87">
        <f>T20/(J20+L20+N20)*100</f>
        <v>9.3419486197684645</v>
      </c>
      <c r="V20" s="91" t="s">
        <v>128</v>
      </c>
    </row>
    <row r="21" spans="1:22" ht="31.5" x14ac:dyDescent="0.25">
      <c r="A21" s="30" t="s">
        <v>53</v>
      </c>
      <c r="B21" s="31" t="s">
        <v>54</v>
      </c>
      <c r="C21" s="32" t="s">
        <v>52</v>
      </c>
      <c r="D21" s="80">
        <f>D28</f>
        <v>0</v>
      </c>
      <c r="E21" s="80">
        <f t="shared" ref="E21:V21" si="2">E28</f>
        <v>18.375231796610169</v>
      </c>
      <c r="F21" s="80" t="s">
        <v>128</v>
      </c>
      <c r="G21" s="80">
        <f t="shared" si="2"/>
        <v>46.259449149999995</v>
      </c>
      <c r="H21" s="80">
        <f t="shared" si="2"/>
        <v>0</v>
      </c>
      <c r="I21" s="80">
        <f t="shared" si="2"/>
        <v>45.993333590000006</v>
      </c>
      <c r="J21" s="80">
        <f t="shared" si="2"/>
        <v>0</v>
      </c>
      <c r="K21" s="80">
        <f t="shared" si="2"/>
        <v>0.71324082999999994</v>
      </c>
      <c r="L21" s="80">
        <f t="shared" si="2"/>
        <v>0</v>
      </c>
      <c r="M21" s="80">
        <f t="shared" si="2"/>
        <v>44.592385229999998</v>
      </c>
      <c r="N21" s="80">
        <f t="shared" si="2"/>
        <v>0</v>
      </c>
      <c r="O21" s="80">
        <f t="shared" si="2"/>
        <v>0.68770752999999996</v>
      </c>
      <c r="P21" s="80">
        <f t="shared" si="2"/>
        <v>0</v>
      </c>
      <c r="Q21" s="80">
        <f t="shared" si="2"/>
        <v>0</v>
      </c>
      <c r="R21" s="80" t="str">
        <f t="shared" si="2"/>
        <v>нд</v>
      </c>
      <c r="S21" s="80">
        <f t="shared" si="2"/>
        <v>0.26611556000000647</v>
      </c>
      <c r="T21" s="80">
        <f t="shared" si="2"/>
        <v>0</v>
      </c>
      <c r="U21" s="98">
        <f t="shared" si="2"/>
        <v>0</v>
      </c>
      <c r="V21" s="23" t="str">
        <f t="shared" si="2"/>
        <v>нд</v>
      </c>
    </row>
    <row r="22" spans="1:22" ht="47.25" x14ac:dyDescent="0.25">
      <c r="A22" s="30" t="s">
        <v>55</v>
      </c>
      <c r="B22" s="31" t="s">
        <v>56</v>
      </c>
      <c r="C22" s="32" t="s">
        <v>52</v>
      </c>
      <c r="D22" s="80">
        <f>D49</f>
        <v>1.5203389830508476</v>
      </c>
      <c r="E22" s="80">
        <f t="shared" ref="E22:V22" si="3">E49</f>
        <v>0.127</v>
      </c>
      <c r="F22" s="80" t="str">
        <f t="shared" si="3"/>
        <v>нд</v>
      </c>
      <c r="G22" s="80">
        <f t="shared" si="3"/>
        <v>27.975951977401131</v>
      </c>
      <c r="H22" s="80">
        <f t="shared" si="3"/>
        <v>13.873333333333333</v>
      </c>
      <c r="I22" s="80">
        <f t="shared" si="3"/>
        <v>0</v>
      </c>
      <c r="J22" s="80">
        <f t="shared" si="3"/>
        <v>2.6408333333333336</v>
      </c>
      <c r="K22" s="80">
        <f t="shared" si="3"/>
        <v>0</v>
      </c>
      <c r="L22" s="80">
        <f t="shared" si="3"/>
        <v>5.9466666666666672</v>
      </c>
      <c r="M22" s="80">
        <f t="shared" si="3"/>
        <v>0</v>
      </c>
      <c r="N22" s="80">
        <f t="shared" si="3"/>
        <v>2.6425000000000001</v>
      </c>
      <c r="O22" s="80">
        <f t="shared" si="3"/>
        <v>0</v>
      </c>
      <c r="P22" s="80">
        <f t="shared" si="3"/>
        <v>2.6433333333333335</v>
      </c>
      <c r="Q22" s="80">
        <f t="shared" si="3"/>
        <v>0</v>
      </c>
      <c r="R22" s="80" t="str">
        <f t="shared" si="3"/>
        <v>нд</v>
      </c>
      <c r="S22" s="80">
        <f t="shared" si="3"/>
        <v>27.975951977401131</v>
      </c>
      <c r="T22" s="80">
        <f t="shared" si="3"/>
        <v>-8.5875000000000004</v>
      </c>
      <c r="U22" s="98">
        <f t="shared" si="3"/>
        <v>-325.18144525086774</v>
      </c>
      <c r="V22" s="23" t="str">
        <f t="shared" si="3"/>
        <v>нд</v>
      </c>
    </row>
    <row r="23" spans="1:22" ht="78.75" x14ac:dyDescent="0.25">
      <c r="A23" s="31" t="s">
        <v>57</v>
      </c>
      <c r="B23" s="31" t="s">
        <v>58</v>
      </c>
      <c r="C23" s="33" t="s">
        <v>52</v>
      </c>
      <c r="D23" s="80">
        <f>D72</f>
        <v>0</v>
      </c>
      <c r="E23" s="80">
        <f t="shared" ref="E23:V23" si="4">E72</f>
        <v>0</v>
      </c>
      <c r="F23" s="80" t="str">
        <f t="shared" si="4"/>
        <v>нд</v>
      </c>
      <c r="G23" s="80">
        <f t="shared" si="4"/>
        <v>0</v>
      </c>
      <c r="H23" s="80">
        <f t="shared" si="4"/>
        <v>0</v>
      </c>
      <c r="I23" s="80">
        <f t="shared" si="4"/>
        <v>0</v>
      </c>
      <c r="J23" s="80">
        <f t="shared" si="4"/>
        <v>0</v>
      </c>
      <c r="K23" s="80">
        <f t="shared" si="4"/>
        <v>0</v>
      </c>
      <c r="L23" s="80">
        <f t="shared" si="4"/>
        <v>0</v>
      </c>
      <c r="M23" s="80">
        <f t="shared" si="4"/>
        <v>0</v>
      </c>
      <c r="N23" s="80">
        <f t="shared" si="4"/>
        <v>0</v>
      </c>
      <c r="O23" s="80">
        <f t="shared" si="4"/>
        <v>0</v>
      </c>
      <c r="P23" s="80">
        <f t="shared" si="4"/>
        <v>0</v>
      </c>
      <c r="Q23" s="80">
        <f t="shared" si="4"/>
        <v>0</v>
      </c>
      <c r="R23" s="80" t="str">
        <f t="shared" si="4"/>
        <v>нд</v>
      </c>
      <c r="S23" s="80">
        <f t="shared" si="4"/>
        <v>0</v>
      </c>
      <c r="T23" s="80">
        <f t="shared" si="4"/>
        <v>0</v>
      </c>
      <c r="U23" s="98">
        <f t="shared" si="4"/>
        <v>0</v>
      </c>
      <c r="V23" s="23" t="str">
        <f t="shared" si="4"/>
        <v>нд</v>
      </c>
    </row>
    <row r="24" spans="1:22" ht="47.25" x14ac:dyDescent="0.25">
      <c r="A24" s="30" t="s">
        <v>59</v>
      </c>
      <c r="B24" s="31" t="s">
        <v>60</v>
      </c>
      <c r="C24" s="32" t="s">
        <v>52</v>
      </c>
      <c r="D24" s="80">
        <f>D75</f>
        <v>0</v>
      </c>
      <c r="E24" s="80">
        <f t="shared" ref="E24:T26" si="5">E75</f>
        <v>0</v>
      </c>
      <c r="F24" s="80" t="str">
        <f t="shared" si="5"/>
        <v>нд</v>
      </c>
      <c r="G24" s="80">
        <f t="shared" si="5"/>
        <v>0</v>
      </c>
      <c r="H24" s="80">
        <f t="shared" si="5"/>
        <v>0</v>
      </c>
      <c r="I24" s="80">
        <f t="shared" si="5"/>
        <v>0</v>
      </c>
      <c r="J24" s="80">
        <f t="shared" si="5"/>
        <v>0</v>
      </c>
      <c r="K24" s="80">
        <f t="shared" si="5"/>
        <v>0</v>
      </c>
      <c r="L24" s="80">
        <f t="shared" si="5"/>
        <v>0</v>
      </c>
      <c r="M24" s="80">
        <f t="shared" si="5"/>
        <v>0</v>
      </c>
      <c r="N24" s="80">
        <f t="shared" si="5"/>
        <v>0</v>
      </c>
      <c r="O24" s="80">
        <f t="shared" si="5"/>
        <v>0</v>
      </c>
      <c r="P24" s="80">
        <f t="shared" si="5"/>
        <v>0</v>
      </c>
      <c r="Q24" s="80">
        <f t="shared" si="5"/>
        <v>0</v>
      </c>
      <c r="R24" s="80" t="str">
        <f t="shared" si="5"/>
        <v>нд</v>
      </c>
      <c r="S24" s="80">
        <f t="shared" si="5"/>
        <v>0</v>
      </c>
      <c r="T24" s="80">
        <f t="shared" si="5"/>
        <v>0</v>
      </c>
      <c r="U24" s="98">
        <f t="shared" ref="U24:V24" si="6">U75</f>
        <v>0</v>
      </c>
      <c r="V24" s="23" t="str">
        <f t="shared" si="6"/>
        <v>нд</v>
      </c>
    </row>
    <row r="25" spans="1:22" ht="47.25" x14ac:dyDescent="0.25">
      <c r="A25" s="31" t="s">
        <v>61</v>
      </c>
      <c r="B25" s="31" t="s">
        <v>62</v>
      </c>
      <c r="C25" s="33" t="s">
        <v>52</v>
      </c>
      <c r="D25" s="80">
        <f>D76</f>
        <v>0</v>
      </c>
      <c r="E25" s="80">
        <f t="shared" si="5"/>
        <v>0</v>
      </c>
      <c r="F25" s="80" t="str">
        <f t="shared" si="5"/>
        <v>нд</v>
      </c>
      <c r="G25" s="80">
        <f t="shared" si="5"/>
        <v>0</v>
      </c>
      <c r="H25" s="80">
        <f t="shared" si="5"/>
        <v>0</v>
      </c>
      <c r="I25" s="80">
        <f t="shared" si="5"/>
        <v>0</v>
      </c>
      <c r="J25" s="80">
        <f t="shared" si="5"/>
        <v>0</v>
      </c>
      <c r="K25" s="80">
        <f t="shared" si="5"/>
        <v>0</v>
      </c>
      <c r="L25" s="80">
        <f t="shared" si="5"/>
        <v>0</v>
      </c>
      <c r="M25" s="80">
        <f t="shared" si="5"/>
        <v>0</v>
      </c>
      <c r="N25" s="80">
        <f t="shared" si="5"/>
        <v>0</v>
      </c>
      <c r="O25" s="80">
        <f t="shared" si="5"/>
        <v>0</v>
      </c>
      <c r="P25" s="80">
        <f t="shared" si="5"/>
        <v>0</v>
      </c>
      <c r="Q25" s="80">
        <f t="shared" si="5"/>
        <v>0</v>
      </c>
      <c r="R25" s="80" t="str">
        <f t="shared" si="5"/>
        <v>нд</v>
      </c>
      <c r="S25" s="80">
        <f t="shared" si="5"/>
        <v>0</v>
      </c>
      <c r="T25" s="80">
        <f t="shared" si="5"/>
        <v>0</v>
      </c>
      <c r="U25" s="98">
        <f t="shared" ref="U25:V25" si="7">U76</f>
        <v>0</v>
      </c>
      <c r="V25" s="23" t="str">
        <f t="shared" si="7"/>
        <v>нд</v>
      </c>
    </row>
    <row r="26" spans="1:22" ht="31.5" x14ac:dyDescent="0.25">
      <c r="A26" s="30" t="s">
        <v>63</v>
      </c>
      <c r="B26" s="31" t="s">
        <v>64</v>
      </c>
      <c r="C26" s="32" t="s">
        <v>52</v>
      </c>
      <c r="D26" s="80">
        <f>D77</f>
        <v>14.472576271186441</v>
      </c>
      <c r="E26" s="80">
        <f t="shared" si="5"/>
        <v>2.4409999999999998</v>
      </c>
      <c r="F26" s="80" t="str">
        <f t="shared" si="5"/>
        <v>нд</v>
      </c>
      <c r="G26" s="80">
        <f t="shared" si="5"/>
        <v>24.117570621468928</v>
      </c>
      <c r="H26" s="80">
        <f t="shared" si="5"/>
        <v>0</v>
      </c>
      <c r="I26" s="80">
        <f t="shared" si="5"/>
        <v>9.636600829999999</v>
      </c>
      <c r="J26" s="80">
        <f t="shared" si="5"/>
        <v>0</v>
      </c>
      <c r="K26" s="80">
        <f t="shared" si="5"/>
        <v>0.13434071000000003</v>
      </c>
      <c r="L26" s="80">
        <f t="shared" si="5"/>
        <v>0</v>
      </c>
      <c r="M26" s="80">
        <f t="shared" si="5"/>
        <v>9.3822601199999998</v>
      </c>
      <c r="N26" s="80">
        <f t="shared" si="5"/>
        <v>0</v>
      </c>
      <c r="O26" s="80">
        <f t="shared" si="5"/>
        <v>0.12</v>
      </c>
      <c r="P26" s="80">
        <f t="shared" si="5"/>
        <v>0</v>
      </c>
      <c r="Q26" s="80">
        <f t="shared" si="5"/>
        <v>0</v>
      </c>
      <c r="R26" s="80">
        <f t="shared" si="5"/>
        <v>0</v>
      </c>
      <c r="S26" s="80">
        <f t="shared" si="5"/>
        <v>14.480969791468926</v>
      </c>
      <c r="T26" s="80">
        <f t="shared" si="5"/>
        <v>9.636600829999999</v>
      </c>
      <c r="U26" s="98" t="str">
        <f t="shared" ref="U26:V26" si="8">U77</f>
        <v>нд</v>
      </c>
      <c r="V26" s="23" t="str">
        <f t="shared" si="8"/>
        <v>нд</v>
      </c>
    </row>
    <row r="27" spans="1:22" x14ac:dyDescent="0.25">
      <c r="A27" s="27" t="s">
        <v>65</v>
      </c>
      <c r="B27" s="28" t="s">
        <v>66</v>
      </c>
      <c r="C27" s="34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92"/>
      <c r="U27" s="92"/>
      <c r="V27" s="92"/>
    </row>
    <row r="28" spans="1:22" ht="31.5" x14ac:dyDescent="0.25">
      <c r="A28" s="35" t="s">
        <v>19</v>
      </c>
      <c r="B28" s="36" t="s">
        <v>67</v>
      </c>
      <c r="C28" s="37" t="s">
        <v>52</v>
      </c>
      <c r="D28" s="73">
        <f>D29+D33+D36+D37</f>
        <v>0</v>
      </c>
      <c r="E28" s="73">
        <f t="shared" ref="E28:Q28" si="9">E29+E33+E36+E37</f>
        <v>18.375231796610169</v>
      </c>
      <c r="F28" s="73">
        <f t="shared" si="9"/>
        <v>0</v>
      </c>
      <c r="G28" s="73">
        <f t="shared" si="9"/>
        <v>46.259449149999995</v>
      </c>
      <c r="H28" s="73">
        <f t="shared" si="9"/>
        <v>0</v>
      </c>
      <c r="I28" s="73">
        <f t="shared" si="9"/>
        <v>45.993333590000006</v>
      </c>
      <c r="J28" s="73">
        <f t="shared" si="9"/>
        <v>0</v>
      </c>
      <c r="K28" s="73">
        <f t="shared" si="9"/>
        <v>0.71324082999999994</v>
      </c>
      <c r="L28" s="73">
        <f t="shared" si="9"/>
        <v>0</v>
      </c>
      <c r="M28" s="73">
        <f t="shared" si="9"/>
        <v>44.592385229999998</v>
      </c>
      <c r="N28" s="73">
        <f t="shared" si="9"/>
        <v>0</v>
      </c>
      <c r="O28" s="73">
        <f t="shared" si="9"/>
        <v>0.68770752999999996</v>
      </c>
      <c r="P28" s="73">
        <f t="shared" si="9"/>
        <v>0</v>
      </c>
      <c r="Q28" s="73">
        <f t="shared" si="9"/>
        <v>0</v>
      </c>
      <c r="R28" s="73" t="s">
        <v>128</v>
      </c>
      <c r="S28" s="73">
        <f>S29+S33+S36+S37</f>
        <v>0.26611556000000647</v>
      </c>
      <c r="T28" s="73">
        <f>T29+T33+T36+T37</f>
        <v>0</v>
      </c>
      <c r="U28" s="97">
        <v>0</v>
      </c>
      <c r="V28" s="93" t="s">
        <v>128</v>
      </c>
    </row>
    <row r="29" spans="1:22" ht="47.25" x14ac:dyDescent="0.25">
      <c r="A29" s="40" t="s">
        <v>20</v>
      </c>
      <c r="B29" s="41" t="s">
        <v>68</v>
      </c>
      <c r="C29" s="42" t="s">
        <v>52</v>
      </c>
      <c r="D29" s="74">
        <f>D30+D31+D32</f>
        <v>0</v>
      </c>
      <c r="E29" s="74">
        <f t="shared" ref="E29:Q29" si="10">E30+E31+E32</f>
        <v>0</v>
      </c>
      <c r="F29" s="74">
        <f t="shared" si="10"/>
        <v>0</v>
      </c>
      <c r="G29" s="74">
        <f t="shared" si="10"/>
        <v>0</v>
      </c>
      <c r="H29" s="74">
        <f t="shared" si="10"/>
        <v>0</v>
      </c>
      <c r="I29" s="74">
        <f t="shared" si="10"/>
        <v>0</v>
      </c>
      <c r="J29" s="74">
        <f t="shared" si="10"/>
        <v>0</v>
      </c>
      <c r="K29" s="74">
        <f t="shared" si="10"/>
        <v>0</v>
      </c>
      <c r="L29" s="74">
        <f t="shared" si="10"/>
        <v>0</v>
      </c>
      <c r="M29" s="74">
        <f t="shared" si="10"/>
        <v>0</v>
      </c>
      <c r="N29" s="74">
        <f t="shared" si="10"/>
        <v>0</v>
      </c>
      <c r="O29" s="74">
        <f t="shared" si="10"/>
        <v>0</v>
      </c>
      <c r="P29" s="74">
        <f t="shared" si="10"/>
        <v>0</v>
      </c>
      <c r="Q29" s="74">
        <f t="shared" si="10"/>
        <v>0</v>
      </c>
      <c r="R29" s="74" t="s">
        <v>128</v>
      </c>
      <c r="S29" s="74">
        <f t="shared" ref="S29:T29" si="11">S30+S31+S32</f>
        <v>0</v>
      </c>
      <c r="T29" s="74">
        <f t="shared" si="11"/>
        <v>0</v>
      </c>
      <c r="U29" s="99">
        <v>0</v>
      </c>
      <c r="V29" s="94" t="s">
        <v>128</v>
      </c>
    </row>
    <row r="30" spans="1:22" ht="78.75" x14ac:dyDescent="0.25">
      <c r="A30" s="58" t="s">
        <v>21</v>
      </c>
      <c r="B30" s="49" t="s">
        <v>69</v>
      </c>
      <c r="C30" s="77" t="s">
        <v>52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 t="s">
        <v>128</v>
      </c>
      <c r="S30" s="76">
        <v>0</v>
      </c>
      <c r="T30" s="76">
        <v>0</v>
      </c>
      <c r="U30" s="96">
        <v>0</v>
      </c>
      <c r="V30" s="95" t="s">
        <v>128</v>
      </c>
    </row>
    <row r="31" spans="1:22" ht="78.75" x14ac:dyDescent="0.25">
      <c r="A31" s="58" t="s">
        <v>22</v>
      </c>
      <c r="B31" s="49" t="s">
        <v>70</v>
      </c>
      <c r="C31" s="57" t="s">
        <v>52</v>
      </c>
      <c r="D31" s="76"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 t="s">
        <v>128</v>
      </c>
      <c r="S31" s="76">
        <v>0</v>
      </c>
      <c r="T31" s="76">
        <v>0</v>
      </c>
      <c r="U31" s="96">
        <v>0</v>
      </c>
      <c r="V31" s="95" t="s">
        <v>128</v>
      </c>
    </row>
    <row r="32" spans="1:22" ht="63" x14ac:dyDescent="0.25">
      <c r="A32" s="58" t="s">
        <v>23</v>
      </c>
      <c r="B32" s="49" t="s">
        <v>71</v>
      </c>
      <c r="C32" s="57" t="s">
        <v>52</v>
      </c>
      <c r="D32" s="76">
        <v>0</v>
      </c>
      <c r="E32" s="76">
        <v>0</v>
      </c>
      <c r="F32" s="76">
        <v>0</v>
      </c>
      <c r="G32" s="76">
        <v>0</v>
      </c>
      <c r="H32" s="76">
        <v>0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76" t="s">
        <v>128</v>
      </c>
      <c r="S32" s="76">
        <v>0</v>
      </c>
      <c r="T32" s="76">
        <v>0</v>
      </c>
      <c r="U32" s="96">
        <v>0</v>
      </c>
      <c r="V32" s="95" t="s">
        <v>128</v>
      </c>
    </row>
    <row r="33" spans="1:22" ht="47.25" x14ac:dyDescent="0.25">
      <c r="A33" s="40" t="s">
        <v>24</v>
      </c>
      <c r="B33" s="41" t="s">
        <v>72</v>
      </c>
      <c r="C33" s="42" t="s">
        <v>52</v>
      </c>
      <c r="D33" s="74">
        <f>D34+D35</f>
        <v>0</v>
      </c>
      <c r="E33" s="74">
        <f t="shared" ref="E33:Q33" si="12">E34+E35</f>
        <v>0</v>
      </c>
      <c r="F33" s="74">
        <f t="shared" si="12"/>
        <v>0</v>
      </c>
      <c r="G33" s="74">
        <f t="shared" si="12"/>
        <v>0</v>
      </c>
      <c r="H33" s="74">
        <f t="shared" si="12"/>
        <v>0</v>
      </c>
      <c r="I33" s="74">
        <f t="shared" si="12"/>
        <v>0</v>
      </c>
      <c r="J33" s="74">
        <f t="shared" si="12"/>
        <v>0</v>
      </c>
      <c r="K33" s="74">
        <f t="shared" si="12"/>
        <v>0</v>
      </c>
      <c r="L33" s="74">
        <f t="shared" si="12"/>
        <v>0</v>
      </c>
      <c r="M33" s="74">
        <f t="shared" si="12"/>
        <v>0</v>
      </c>
      <c r="N33" s="74">
        <f t="shared" si="12"/>
        <v>0</v>
      </c>
      <c r="O33" s="74">
        <f t="shared" si="12"/>
        <v>0</v>
      </c>
      <c r="P33" s="74">
        <f t="shared" si="12"/>
        <v>0</v>
      </c>
      <c r="Q33" s="74">
        <f t="shared" si="12"/>
        <v>0</v>
      </c>
      <c r="R33" s="74" t="s">
        <v>128</v>
      </c>
      <c r="S33" s="74">
        <f t="shared" ref="S33:T33" si="13">S34+S35</f>
        <v>0</v>
      </c>
      <c r="T33" s="74">
        <f t="shared" si="13"/>
        <v>0</v>
      </c>
      <c r="U33" s="99">
        <v>0</v>
      </c>
      <c r="V33" s="94" t="s">
        <v>128</v>
      </c>
    </row>
    <row r="34" spans="1:22" ht="78.75" x14ac:dyDescent="0.25">
      <c r="A34" s="58" t="s">
        <v>42</v>
      </c>
      <c r="B34" s="49" t="s">
        <v>73</v>
      </c>
      <c r="C34" s="57" t="s">
        <v>52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6" t="s">
        <v>128</v>
      </c>
      <c r="S34" s="76">
        <v>0</v>
      </c>
      <c r="T34" s="76">
        <v>0</v>
      </c>
      <c r="U34" s="96">
        <v>0</v>
      </c>
      <c r="V34" s="95" t="s">
        <v>128</v>
      </c>
    </row>
    <row r="35" spans="1:22" ht="63" x14ac:dyDescent="0.25">
      <c r="A35" s="58" t="s">
        <v>43</v>
      </c>
      <c r="B35" s="49" t="s">
        <v>74</v>
      </c>
      <c r="C35" s="57" t="s">
        <v>52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6" t="s">
        <v>128</v>
      </c>
      <c r="S35" s="76">
        <v>0</v>
      </c>
      <c r="T35" s="76">
        <v>0</v>
      </c>
      <c r="U35" s="96">
        <v>0</v>
      </c>
      <c r="V35" s="95" t="s">
        <v>128</v>
      </c>
    </row>
    <row r="36" spans="1:22" ht="63" x14ac:dyDescent="0.25">
      <c r="A36" s="40" t="s">
        <v>25</v>
      </c>
      <c r="B36" s="41" t="s">
        <v>75</v>
      </c>
      <c r="C36" s="42" t="s">
        <v>52</v>
      </c>
      <c r="D36" s="74">
        <v>0</v>
      </c>
      <c r="E36" s="74"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  <c r="K36" s="74">
        <v>0</v>
      </c>
      <c r="L36" s="74">
        <v>0</v>
      </c>
      <c r="M36" s="74">
        <v>0</v>
      </c>
      <c r="N36" s="74">
        <v>0</v>
      </c>
      <c r="O36" s="74">
        <v>0</v>
      </c>
      <c r="P36" s="74">
        <v>0</v>
      </c>
      <c r="Q36" s="74">
        <v>0</v>
      </c>
      <c r="R36" s="74" t="s">
        <v>128</v>
      </c>
      <c r="S36" s="74">
        <v>0</v>
      </c>
      <c r="T36" s="74">
        <v>0</v>
      </c>
      <c r="U36" s="94"/>
      <c r="V36" s="94" t="s">
        <v>128</v>
      </c>
    </row>
    <row r="37" spans="1:22" ht="110.25" x14ac:dyDescent="0.25">
      <c r="A37" s="41" t="s">
        <v>76</v>
      </c>
      <c r="B37" s="41" t="s">
        <v>77</v>
      </c>
      <c r="C37" s="42" t="s">
        <v>52</v>
      </c>
      <c r="D37" s="74">
        <f>D38+D48</f>
        <v>0</v>
      </c>
      <c r="E37" s="74">
        <f>E38+E48</f>
        <v>18.375231796610169</v>
      </c>
      <c r="F37" s="74">
        <v>0</v>
      </c>
      <c r="G37" s="74">
        <f t="shared" ref="G37:Q37" si="14">G38+G48</f>
        <v>46.259449149999995</v>
      </c>
      <c r="H37" s="74">
        <f t="shared" si="14"/>
        <v>0</v>
      </c>
      <c r="I37" s="74">
        <f t="shared" si="14"/>
        <v>45.993333590000006</v>
      </c>
      <c r="J37" s="74">
        <f t="shared" si="14"/>
        <v>0</v>
      </c>
      <c r="K37" s="74">
        <f t="shared" si="14"/>
        <v>0.71324082999999994</v>
      </c>
      <c r="L37" s="74">
        <f t="shared" si="14"/>
        <v>0</v>
      </c>
      <c r="M37" s="74">
        <f t="shared" si="14"/>
        <v>44.592385229999998</v>
      </c>
      <c r="N37" s="74">
        <f t="shared" si="14"/>
        <v>0</v>
      </c>
      <c r="O37" s="74">
        <f t="shared" si="14"/>
        <v>0.68770752999999996</v>
      </c>
      <c r="P37" s="74">
        <f t="shared" si="14"/>
        <v>0</v>
      </c>
      <c r="Q37" s="74">
        <f t="shared" si="14"/>
        <v>0</v>
      </c>
      <c r="R37" s="74" t="s">
        <v>128</v>
      </c>
      <c r="S37" s="74">
        <f>S38+S48</f>
        <v>0.26611556000000647</v>
      </c>
      <c r="T37" s="74">
        <v>0</v>
      </c>
      <c r="U37" s="99">
        <v>0</v>
      </c>
      <c r="V37" s="94" t="s">
        <v>128</v>
      </c>
    </row>
    <row r="38" spans="1:22" ht="94.5" x14ac:dyDescent="0.25">
      <c r="A38" s="48" t="s">
        <v>78</v>
      </c>
      <c r="B38" s="49" t="s">
        <v>79</v>
      </c>
      <c r="C38" s="50" t="s">
        <v>52</v>
      </c>
      <c r="D38" s="76">
        <v>0</v>
      </c>
      <c r="E38" s="76">
        <f>SUM(E39:E47)</f>
        <v>18.375231796610169</v>
      </c>
      <c r="F38" s="76">
        <f>SUM(F39:F43)</f>
        <v>0</v>
      </c>
      <c r="G38" s="76">
        <f t="shared" ref="G38:Q38" si="15">SUM(G39:G47)</f>
        <v>46.259449149999995</v>
      </c>
      <c r="H38" s="76">
        <f t="shared" si="15"/>
        <v>0</v>
      </c>
      <c r="I38" s="76">
        <f>SUM(I39:I47)</f>
        <v>45.993333590000006</v>
      </c>
      <c r="J38" s="76">
        <f t="shared" si="15"/>
        <v>0</v>
      </c>
      <c r="K38" s="76">
        <f t="shared" si="15"/>
        <v>0.71324082999999994</v>
      </c>
      <c r="L38" s="76">
        <f t="shared" si="15"/>
        <v>0</v>
      </c>
      <c r="M38" s="76">
        <f t="shared" si="15"/>
        <v>44.592385229999998</v>
      </c>
      <c r="N38" s="76">
        <f t="shared" si="15"/>
        <v>0</v>
      </c>
      <c r="O38" s="76">
        <f t="shared" si="15"/>
        <v>0.68770752999999996</v>
      </c>
      <c r="P38" s="76">
        <f t="shared" si="15"/>
        <v>0</v>
      </c>
      <c r="Q38" s="76">
        <f t="shared" si="15"/>
        <v>0</v>
      </c>
      <c r="R38" s="76" t="s">
        <v>128</v>
      </c>
      <c r="S38" s="76">
        <f>SUM(S39:S47)</f>
        <v>0.26611556000000647</v>
      </c>
      <c r="T38" s="76">
        <f>SUM(T39:T47)</f>
        <v>45.993333590000006</v>
      </c>
      <c r="U38" s="96">
        <v>0</v>
      </c>
      <c r="V38" s="95" t="s">
        <v>128</v>
      </c>
    </row>
    <row r="39" spans="1:22" ht="94.5" x14ac:dyDescent="0.25">
      <c r="A39" s="45" t="s">
        <v>78</v>
      </c>
      <c r="B39" s="46" t="s">
        <v>80</v>
      </c>
      <c r="C39" s="17" t="s">
        <v>81</v>
      </c>
      <c r="D39" s="80" t="s">
        <v>128</v>
      </c>
      <c r="E39" s="80">
        <f>15.611/1.18+2.273</f>
        <v>15.502661016949153</v>
      </c>
      <c r="F39" s="80" t="s">
        <v>128</v>
      </c>
      <c r="G39" s="75">
        <v>25.135000000000002</v>
      </c>
      <c r="H39" s="80">
        <f>J39+L39+N39+P39</f>
        <v>0</v>
      </c>
      <c r="I39" s="80">
        <f>K39+M39+O39+Q39</f>
        <v>41.650567679999995</v>
      </c>
      <c r="J39" s="80">
        <v>0</v>
      </c>
      <c r="K39" s="80">
        <v>0</v>
      </c>
      <c r="L39" s="80">
        <v>0</v>
      </c>
      <c r="M39" s="103">
        <f>(1.36458098*2)+1.61422485+17.43462344+10.79093206+9.08162537</f>
        <v>41.650567679999995</v>
      </c>
      <c r="N39" s="80">
        <v>0</v>
      </c>
      <c r="O39" s="80">
        <v>0</v>
      </c>
      <c r="P39" s="80">
        <v>0</v>
      </c>
      <c r="Q39" s="103">
        <v>0</v>
      </c>
      <c r="R39" s="80" t="s">
        <v>128</v>
      </c>
      <c r="S39" s="80">
        <f t="shared" ref="S39:S47" si="16">G39-I39</f>
        <v>-16.515567679999993</v>
      </c>
      <c r="T39" s="80">
        <f>I39-(J39+L39)</f>
        <v>41.650567679999995</v>
      </c>
      <c r="U39" s="23" t="s">
        <v>128</v>
      </c>
      <c r="V39" s="26" t="s">
        <v>138</v>
      </c>
    </row>
    <row r="40" spans="1:22" ht="110.25" x14ac:dyDescent="0.25">
      <c r="A40" s="45" t="s">
        <v>78</v>
      </c>
      <c r="B40" s="47" t="s">
        <v>82</v>
      </c>
      <c r="C40" s="17" t="s">
        <v>83</v>
      </c>
      <c r="D40" s="80" t="s">
        <v>128</v>
      </c>
      <c r="E40" s="80">
        <f>2.79/1.18+0.166</f>
        <v>2.5304067796610172</v>
      </c>
      <c r="F40" s="80" t="s">
        <v>128</v>
      </c>
      <c r="G40" s="75">
        <v>4.8570000000000002</v>
      </c>
      <c r="H40" s="80">
        <f>J40+L40+N40+P40</f>
        <v>0</v>
      </c>
      <c r="I40" s="80">
        <f>K40+M40+O40+Q40</f>
        <v>0</v>
      </c>
      <c r="J40" s="80">
        <v>0</v>
      </c>
      <c r="K40" s="80">
        <v>0</v>
      </c>
      <c r="L40" s="80">
        <v>0</v>
      </c>
      <c r="M40" s="75">
        <v>0</v>
      </c>
      <c r="N40" s="80">
        <v>0</v>
      </c>
      <c r="O40" s="80">
        <v>0</v>
      </c>
      <c r="P40" s="80">
        <v>0</v>
      </c>
      <c r="Q40" s="103">
        <v>0</v>
      </c>
      <c r="R40" s="80" t="s">
        <v>128</v>
      </c>
      <c r="S40" s="80">
        <f t="shared" si="16"/>
        <v>4.8570000000000002</v>
      </c>
      <c r="T40" s="80">
        <f>I40-(J40+L40)</f>
        <v>0</v>
      </c>
      <c r="U40" s="23" t="s">
        <v>128</v>
      </c>
      <c r="V40" s="26" t="s">
        <v>139</v>
      </c>
    </row>
    <row r="41" spans="1:22" ht="126" x14ac:dyDescent="0.25">
      <c r="A41" s="45" t="s">
        <v>78</v>
      </c>
      <c r="B41" s="47" t="s">
        <v>136</v>
      </c>
      <c r="C41" s="17" t="s">
        <v>134</v>
      </c>
      <c r="D41" s="80" t="s">
        <v>128</v>
      </c>
      <c r="E41" s="80">
        <v>0.129</v>
      </c>
      <c r="F41" s="80">
        <v>0</v>
      </c>
      <c r="G41" s="80">
        <v>5.7750000000000004</v>
      </c>
      <c r="H41" s="80">
        <f t="shared" ref="H41:H47" si="17">J41+L41+N41+P41</f>
        <v>0</v>
      </c>
      <c r="I41" s="80">
        <f t="shared" ref="I41:I47" si="18">K41+M41+O41+Q41</f>
        <v>0.64093356999999995</v>
      </c>
      <c r="J41" s="80">
        <v>0</v>
      </c>
      <c r="K41" s="103">
        <f>232026.16/1000000</f>
        <v>0.23202616000000001</v>
      </c>
      <c r="L41" s="80">
        <v>0</v>
      </c>
      <c r="M41" s="103">
        <f>0.21867658</f>
        <v>0.21867658000000001</v>
      </c>
      <c r="N41" s="80">
        <v>0</v>
      </c>
      <c r="O41" s="80">
        <f>0.19023083</f>
        <v>0.19023082999999999</v>
      </c>
      <c r="P41" s="80">
        <v>0</v>
      </c>
      <c r="Q41" s="103">
        <v>0</v>
      </c>
      <c r="R41" s="80" t="s">
        <v>128</v>
      </c>
      <c r="S41" s="80">
        <f>G41-I41</f>
        <v>5.1340664300000007</v>
      </c>
      <c r="T41" s="80">
        <f t="shared" ref="T41:T42" si="19">I41-(J41+L41)</f>
        <v>0.64093356999999995</v>
      </c>
      <c r="U41" s="23" t="s">
        <v>128</v>
      </c>
      <c r="V41" s="26" t="s">
        <v>140</v>
      </c>
    </row>
    <row r="42" spans="1:22" ht="94.5" x14ac:dyDescent="0.25">
      <c r="A42" s="45" t="s">
        <v>78</v>
      </c>
      <c r="B42" s="47" t="s">
        <v>161</v>
      </c>
      <c r="C42" s="17" t="s">
        <v>162</v>
      </c>
      <c r="D42" s="80" t="s">
        <v>128</v>
      </c>
      <c r="E42" s="80">
        <v>8.6999999999999994E-2</v>
      </c>
      <c r="F42" s="80" t="s">
        <v>128</v>
      </c>
      <c r="G42" s="80">
        <v>-5.508500000000055E-4</v>
      </c>
      <c r="H42" s="80">
        <f t="shared" si="17"/>
        <v>0</v>
      </c>
      <c r="I42" s="80">
        <f t="shared" si="18"/>
        <v>6.6784190000000007E-2</v>
      </c>
      <c r="J42" s="80">
        <v>0</v>
      </c>
      <c r="K42" s="103">
        <f>66784.19/1000000</f>
        <v>6.6784190000000007E-2</v>
      </c>
      <c r="L42" s="80">
        <v>0</v>
      </c>
      <c r="M42" s="75">
        <v>0</v>
      </c>
      <c r="N42" s="80">
        <v>0</v>
      </c>
      <c r="O42" s="80">
        <v>0</v>
      </c>
      <c r="P42" s="80">
        <v>0</v>
      </c>
      <c r="Q42" s="103">
        <v>0</v>
      </c>
      <c r="R42" s="80" t="s">
        <v>128</v>
      </c>
      <c r="S42" s="80">
        <f>G42-I42</f>
        <v>-6.7335040000000013E-2</v>
      </c>
      <c r="T42" s="80">
        <f t="shared" si="19"/>
        <v>6.6784190000000007E-2</v>
      </c>
      <c r="U42" s="23" t="s">
        <v>128</v>
      </c>
      <c r="V42" s="26" t="s">
        <v>163</v>
      </c>
    </row>
    <row r="43" spans="1:22" ht="126" x14ac:dyDescent="0.25">
      <c r="A43" s="45" t="s">
        <v>78</v>
      </c>
      <c r="B43" s="47" t="s">
        <v>137</v>
      </c>
      <c r="C43" s="17" t="s">
        <v>135</v>
      </c>
      <c r="D43" s="80" t="s">
        <v>128</v>
      </c>
      <c r="E43" s="80">
        <v>2.8000000000000001E-2</v>
      </c>
      <c r="F43" s="80">
        <v>0</v>
      </c>
      <c r="G43" s="80">
        <v>1.238</v>
      </c>
      <c r="H43" s="80">
        <f t="shared" si="17"/>
        <v>0</v>
      </c>
      <c r="I43" s="80">
        <f t="shared" si="18"/>
        <v>0.13733753000000001</v>
      </c>
      <c r="J43" s="80">
        <v>0</v>
      </c>
      <c r="K43" s="103">
        <f>49775.57/1000000</f>
        <v>4.9775569999999998E-2</v>
      </c>
      <c r="L43" s="80">
        <v>0</v>
      </c>
      <c r="M43" s="103">
        <f>0.04671646</f>
        <v>4.6716460000000001E-2</v>
      </c>
      <c r="N43" s="80">
        <v>0</v>
      </c>
      <c r="O43" s="80">
        <f>0.0408455</f>
        <v>4.08455E-2</v>
      </c>
      <c r="P43" s="80">
        <v>0</v>
      </c>
      <c r="Q43" s="103">
        <v>0</v>
      </c>
      <c r="R43" s="80" t="s">
        <v>128</v>
      </c>
      <c r="S43" s="80">
        <f t="shared" si="16"/>
        <v>1.1006624700000001</v>
      </c>
      <c r="T43" s="80">
        <f>I43-(J43+L43)</f>
        <v>0.13733753000000001</v>
      </c>
      <c r="U43" s="23" t="s">
        <v>128</v>
      </c>
      <c r="V43" s="26" t="s">
        <v>140</v>
      </c>
    </row>
    <row r="44" spans="1:22" ht="31.5" x14ac:dyDescent="0.25">
      <c r="A44" s="45" t="s">
        <v>78</v>
      </c>
      <c r="B44" s="47" t="s">
        <v>146</v>
      </c>
      <c r="C44" s="17" t="s">
        <v>141</v>
      </c>
      <c r="D44" s="80" t="s">
        <v>128</v>
      </c>
      <c r="E44" s="80">
        <v>5.1219999999999998E-3</v>
      </c>
      <c r="F44" s="80">
        <v>0</v>
      </c>
      <c r="G44" s="80">
        <v>1.214</v>
      </c>
      <c r="H44" s="80">
        <f t="shared" si="17"/>
        <v>0</v>
      </c>
      <c r="I44" s="80">
        <f t="shared" si="18"/>
        <v>0.11989181000000002</v>
      </c>
      <c r="J44" s="80">
        <v>0</v>
      </c>
      <c r="K44" s="103">
        <f>44763.87/1000000</f>
        <v>4.4763870000000004E-2</v>
      </c>
      <c r="L44" s="80">
        <v>0</v>
      </c>
      <c r="M44" s="103">
        <f>0.07512794</f>
        <v>7.5127940000000004E-2</v>
      </c>
      <c r="N44" s="80">
        <v>0</v>
      </c>
      <c r="O44" s="80">
        <v>0</v>
      </c>
      <c r="P44" s="80">
        <v>0</v>
      </c>
      <c r="Q44" s="103">
        <v>0</v>
      </c>
      <c r="R44" s="80" t="s">
        <v>128</v>
      </c>
      <c r="S44" s="80">
        <f t="shared" si="16"/>
        <v>1.09410819</v>
      </c>
      <c r="T44" s="80">
        <f t="shared" ref="T44:T47" si="20">I44-(J44+L44)</f>
        <v>0.11989181000000002</v>
      </c>
      <c r="U44" s="23" t="s">
        <v>128</v>
      </c>
      <c r="V44" s="26" t="s">
        <v>145</v>
      </c>
    </row>
    <row r="45" spans="1:22" ht="31.5" x14ac:dyDescent="0.25">
      <c r="A45" s="45" t="s">
        <v>78</v>
      </c>
      <c r="B45" s="47" t="s">
        <v>147</v>
      </c>
      <c r="C45" s="17" t="s">
        <v>142</v>
      </c>
      <c r="D45" s="80" t="s">
        <v>128</v>
      </c>
      <c r="E45" s="80">
        <v>9.7739999999999997E-3</v>
      </c>
      <c r="F45" s="80">
        <v>0</v>
      </c>
      <c r="G45" s="80">
        <v>1.1020000000000001</v>
      </c>
      <c r="H45" s="80">
        <f t="shared" si="17"/>
        <v>0</v>
      </c>
      <c r="I45" s="80">
        <f t="shared" si="18"/>
        <v>8.5005949999999997E-2</v>
      </c>
      <c r="J45" s="80">
        <v>0</v>
      </c>
      <c r="K45" s="103">
        <f>43627.75/1000000</f>
        <v>4.362775E-2</v>
      </c>
      <c r="L45" s="80">
        <v>0</v>
      </c>
      <c r="M45" s="103">
        <f>0.0413782</f>
        <v>4.1378199999999997E-2</v>
      </c>
      <c r="N45" s="80">
        <v>0</v>
      </c>
      <c r="O45" s="80">
        <v>0</v>
      </c>
      <c r="P45" s="80">
        <v>0</v>
      </c>
      <c r="Q45" s="103">
        <v>0</v>
      </c>
      <c r="R45" s="80" t="s">
        <v>128</v>
      </c>
      <c r="S45" s="80">
        <f t="shared" si="16"/>
        <v>1.0169940500000001</v>
      </c>
      <c r="T45" s="80">
        <f t="shared" si="20"/>
        <v>8.5005949999999997E-2</v>
      </c>
      <c r="U45" s="23" t="s">
        <v>128</v>
      </c>
      <c r="V45" s="26" t="s">
        <v>145</v>
      </c>
    </row>
    <row r="46" spans="1:22" ht="94.5" x14ac:dyDescent="0.25">
      <c r="A46" s="45" t="s">
        <v>78</v>
      </c>
      <c r="B46" s="47" t="s">
        <v>148</v>
      </c>
      <c r="C46" s="17" t="s">
        <v>143</v>
      </c>
      <c r="D46" s="80" t="s">
        <v>128</v>
      </c>
      <c r="E46" s="80">
        <v>6.3E-2</v>
      </c>
      <c r="F46" s="80">
        <v>0</v>
      </c>
      <c r="G46" s="80">
        <v>4.6589999999999998</v>
      </c>
      <c r="H46" s="80">
        <f t="shared" si="17"/>
        <v>0</v>
      </c>
      <c r="I46" s="80">
        <f t="shared" si="18"/>
        <v>0.51196112999999999</v>
      </c>
      <c r="J46" s="80">
        <v>0</v>
      </c>
      <c r="K46" s="103">
        <f>185499.33/1000000</f>
        <v>0.18549932999999999</v>
      </c>
      <c r="L46" s="80">
        <v>0</v>
      </c>
      <c r="M46" s="103">
        <f>0.17468421</f>
        <v>0.17468421000000001</v>
      </c>
      <c r="N46" s="80">
        <v>0</v>
      </c>
      <c r="O46" s="80">
        <f>0.15177759</f>
        <v>0.15177758999999999</v>
      </c>
      <c r="P46" s="80">
        <v>0</v>
      </c>
      <c r="Q46" s="103">
        <v>0</v>
      </c>
      <c r="R46" s="80" t="s">
        <v>128</v>
      </c>
      <c r="S46" s="80">
        <f t="shared" si="16"/>
        <v>4.1470388699999994</v>
      </c>
      <c r="T46" s="80">
        <f t="shared" si="20"/>
        <v>0.51196112999999999</v>
      </c>
      <c r="U46" s="23" t="s">
        <v>128</v>
      </c>
      <c r="V46" s="26" t="s">
        <v>145</v>
      </c>
    </row>
    <row r="47" spans="1:22" ht="31.5" x14ac:dyDescent="0.25">
      <c r="A47" s="45" t="s">
        <v>78</v>
      </c>
      <c r="B47" s="47" t="s">
        <v>149</v>
      </c>
      <c r="C47" s="17" t="s">
        <v>144</v>
      </c>
      <c r="D47" s="80" t="s">
        <v>128</v>
      </c>
      <c r="E47" s="80">
        <v>2.0268000000000001E-2</v>
      </c>
      <c r="F47" s="80">
        <v>0</v>
      </c>
      <c r="G47" s="80">
        <v>2.2799999999999998</v>
      </c>
      <c r="H47" s="80">
        <f t="shared" si="17"/>
        <v>0</v>
      </c>
      <c r="I47" s="80">
        <f t="shared" si="18"/>
        <v>2.7808517299999997</v>
      </c>
      <c r="J47" s="80">
        <v>0</v>
      </c>
      <c r="K47" s="103">
        <f>90763.96/1000000</f>
        <v>9.0763960000000005E-2</v>
      </c>
      <c r="L47" s="80">
        <v>0</v>
      </c>
      <c r="M47" s="103">
        <f>2.38523416</f>
        <v>2.38523416</v>
      </c>
      <c r="N47" s="80">
        <v>0</v>
      </c>
      <c r="O47" s="80">
        <f>0.30485361</f>
        <v>0.30485361</v>
      </c>
      <c r="P47" s="80">
        <v>0</v>
      </c>
      <c r="Q47" s="103">
        <v>0</v>
      </c>
      <c r="R47" s="80" t="s">
        <v>128</v>
      </c>
      <c r="S47" s="80">
        <f t="shared" si="16"/>
        <v>-0.50085172999999994</v>
      </c>
      <c r="T47" s="80">
        <f t="shared" si="20"/>
        <v>2.7808517299999997</v>
      </c>
      <c r="U47" s="23"/>
      <c r="V47" s="26" t="s">
        <v>145</v>
      </c>
    </row>
    <row r="48" spans="1:22" ht="110.25" x14ac:dyDescent="0.25">
      <c r="A48" s="49" t="s">
        <v>84</v>
      </c>
      <c r="B48" s="82" t="s">
        <v>85</v>
      </c>
      <c r="C48" s="57" t="s">
        <v>52</v>
      </c>
      <c r="D48" s="76">
        <v>0</v>
      </c>
      <c r="E48" s="76">
        <v>0</v>
      </c>
      <c r="F48" s="76" t="s">
        <v>128</v>
      </c>
      <c r="G48" s="76">
        <v>0</v>
      </c>
      <c r="H48" s="76">
        <v>0</v>
      </c>
      <c r="I48" s="76">
        <v>0</v>
      </c>
      <c r="J48" s="76">
        <v>0</v>
      </c>
      <c r="K48" s="76">
        <v>0</v>
      </c>
      <c r="L48" s="76">
        <v>0</v>
      </c>
      <c r="M48" s="76">
        <v>0</v>
      </c>
      <c r="N48" s="76">
        <v>0</v>
      </c>
      <c r="O48" s="76">
        <v>0</v>
      </c>
      <c r="P48" s="76">
        <v>0</v>
      </c>
      <c r="Q48" s="76">
        <v>0</v>
      </c>
      <c r="R48" s="76" t="s">
        <v>128</v>
      </c>
      <c r="S48" s="76">
        <v>0</v>
      </c>
      <c r="T48" s="76">
        <v>0</v>
      </c>
      <c r="U48" s="95" t="s">
        <v>128</v>
      </c>
      <c r="V48" s="95" t="s">
        <v>128</v>
      </c>
    </row>
    <row r="49" spans="1:22" ht="47.25" x14ac:dyDescent="0.25">
      <c r="A49" s="35" t="s">
        <v>26</v>
      </c>
      <c r="B49" s="36" t="s">
        <v>86</v>
      </c>
      <c r="C49" s="37" t="s">
        <v>52</v>
      </c>
      <c r="D49" s="73">
        <f>D50+D54+D58+D69</f>
        <v>1.5203389830508476</v>
      </c>
      <c r="E49" s="73">
        <f>E50+E54+E58+E69</f>
        <v>0.127</v>
      </c>
      <c r="F49" s="73" t="s">
        <v>128</v>
      </c>
      <c r="G49" s="73">
        <f t="shared" ref="G49:Q49" si="21">G50+G54+G58+G69</f>
        <v>27.975951977401131</v>
      </c>
      <c r="H49" s="73">
        <f t="shared" si="21"/>
        <v>13.873333333333333</v>
      </c>
      <c r="I49" s="73">
        <f t="shared" si="21"/>
        <v>0</v>
      </c>
      <c r="J49" s="73">
        <f t="shared" si="21"/>
        <v>2.6408333333333336</v>
      </c>
      <c r="K49" s="73">
        <f t="shared" si="21"/>
        <v>0</v>
      </c>
      <c r="L49" s="73">
        <f t="shared" si="21"/>
        <v>5.9466666666666672</v>
      </c>
      <c r="M49" s="73">
        <f t="shared" si="21"/>
        <v>0</v>
      </c>
      <c r="N49" s="73">
        <f t="shared" si="21"/>
        <v>2.6425000000000001</v>
      </c>
      <c r="O49" s="73">
        <f t="shared" si="21"/>
        <v>0</v>
      </c>
      <c r="P49" s="73">
        <f t="shared" si="21"/>
        <v>2.6433333333333335</v>
      </c>
      <c r="Q49" s="73">
        <f t="shared" si="21"/>
        <v>0</v>
      </c>
      <c r="R49" s="73" t="s">
        <v>128</v>
      </c>
      <c r="S49" s="73">
        <f>S50+S54+S58+S69</f>
        <v>27.975951977401131</v>
      </c>
      <c r="T49" s="73">
        <f>T50+T54+T58+T69</f>
        <v>-8.5875000000000004</v>
      </c>
      <c r="U49" s="97">
        <f>T49/(J49)*100</f>
        <v>-325.18144525086774</v>
      </c>
      <c r="V49" s="93" t="s">
        <v>128</v>
      </c>
    </row>
    <row r="50" spans="1:22" ht="78.75" x14ac:dyDescent="0.25">
      <c r="A50" s="43" t="s">
        <v>27</v>
      </c>
      <c r="B50" s="41" t="s">
        <v>87</v>
      </c>
      <c r="C50" s="44" t="s">
        <v>52</v>
      </c>
      <c r="D50" s="74">
        <f>D51+D52</f>
        <v>1.5203389830508476</v>
      </c>
      <c r="E50" s="74">
        <f>E51+E52</f>
        <v>0.127</v>
      </c>
      <c r="F50" s="74" t="s">
        <v>128</v>
      </c>
      <c r="G50" s="74">
        <f t="shared" ref="G50:Q50" si="22">G51+G52</f>
        <v>1.393</v>
      </c>
      <c r="H50" s="74">
        <f t="shared" si="22"/>
        <v>0</v>
      </c>
      <c r="I50" s="74">
        <f t="shared" si="22"/>
        <v>0</v>
      </c>
      <c r="J50" s="74">
        <f t="shared" si="22"/>
        <v>0</v>
      </c>
      <c r="K50" s="74">
        <f t="shared" si="22"/>
        <v>0</v>
      </c>
      <c r="L50" s="74">
        <f t="shared" si="22"/>
        <v>0</v>
      </c>
      <c r="M50" s="74">
        <f t="shared" si="22"/>
        <v>0</v>
      </c>
      <c r="N50" s="74">
        <f t="shared" si="22"/>
        <v>0</v>
      </c>
      <c r="O50" s="74">
        <f t="shared" si="22"/>
        <v>0</v>
      </c>
      <c r="P50" s="74">
        <f t="shared" si="22"/>
        <v>0</v>
      </c>
      <c r="Q50" s="74">
        <f t="shared" si="22"/>
        <v>0</v>
      </c>
      <c r="R50" s="74" t="s">
        <v>128</v>
      </c>
      <c r="S50" s="74">
        <f>S51+S52</f>
        <v>1.393</v>
      </c>
      <c r="T50" s="74">
        <f>T51+T52</f>
        <v>0</v>
      </c>
      <c r="U50" s="99">
        <v>0</v>
      </c>
      <c r="V50" s="94" t="s">
        <v>128</v>
      </c>
    </row>
    <row r="51" spans="1:22" ht="47.25" x14ac:dyDescent="0.25">
      <c r="A51" s="48" t="s">
        <v>28</v>
      </c>
      <c r="B51" s="49" t="s">
        <v>88</v>
      </c>
      <c r="C51" s="50" t="s">
        <v>52</v>
      </c>
      <c r="D51" s="76">
        <v>0</v>
      </c>
      <c r="E51" s="76">
        <v>0</v>
      </c>
      <c r="F51" s="76" t="s">
        <v>128</v>
      </c>
      <c r="G51" s="76">
        <v>0</v>
      </c>
      <c r="H51" s="76">
        <v>0</v>
      </c>
      <c r="I51" s="76">
        <v>0</v>
      </c>
      <c r="J51" s="76">
        <v>0</v>
      </c>
      <c r="K51" s="76">
        <v>0</v>
      </c>
      <c r="L51" s="76">
        <v>0</v>
      </c>
      <c r="M51" s="76">
        <v>0</v>
      </c>
      <c r="N51" s="76">
        <v>0</v>
      </c>
      <c r="O51" s="76">
        <v>0</v>
      </c>
      <c r="P51" s="76">
        <v>0</v>
      </c>
      <c r="Q51" s="76">
        <v>0</v>
      </c>
      <c r="R51" s="76" t="s">
        <v>128</v>
      </c>
      <c r="S51" s="76">
        <v>0</v>
      </c>
      <c r="T51" s="76">
        <v>0</v>
      </c>
      <c r="U51" s="96">
        <v>0</v>
      </c>
      <c r="V51" s="95" t="s">
        <v>128</v>
      </c>
    </row>
    <row r="52" spans="1:22" ht="78.75" x14ac:dyDescent="0.25">
      <c r="A52" s="49" t="s">
        <v>29</v>
      </c>
      <c r="B52" s="52" t="s">
        <v>89</v>
      </c>
      <c r="C52" s="53" t="s">
        <v>52</v>
      </c>
      <c r="D52" s="76">
        <f>D53</f>
        <v>1.5203389830508476</v>
      </c>
      <c r="E52" s="76">
        <f t="shared" ref="E52:T52" si="23">E53</f>
        <v>0.127</v>
      </c>
      <c r="F52" s="76" t="str">
        <f t="shared" si="23"/>
        <v>нд</v>
      </c>
      <c r="G52" s="76">
        <f t="shared" si="23"/>
        <v>1.393</v>
      </c>
      <c r="H52" s="76">
        <f t="shared" si="23"/>
        <v>0</v>
      </c>
      <c r="I52" s="76">
        <f t="shared" si="23"/>
        <v>0</v>
      </c>
      <c r="J52" s="76">
        <f t="shared" si="23"/>
        <v>0</v>
      </c>
      <c r="K52" s="76">
        <f t="shared" si="23"/>
        <v>0</v>
      </c>
      <c r="L52" s="76">
        <f t="shared" si="23"/>
        <v>0</v>
      </c>
      <c r="M52" s="76">
        <f t="shared" si="23"/>
        <v>0</v>
      </c>
      <c r="N52" s="76">
        <f t="shared" si="23"/>
        <v>0</v>
      </c>
      <c r="O52" s="76">
        <f t="shared" si="23"/>
        <v>0</v>
      </c>
      <c r="P52" s="76">
        <f t="shared" si="23"/>
        <v>0</v>
      </c>
      <c r="Q52" s="76">
        <f t="shared" si="23"/>
        <v>0</v>
      </c>
      <c r="R52" s="76" t="str">
        <f t="shared" si="23"/>
        <v>нд</v>
      </c>
      <c r="S52" s="76">
        <f t="shared" si="23"/>
        <v>1.393</v>
      </c>
      <c r="T52" s="76">
        <f t="shared" si="23"/>
        <v>0</v>
      </c>
      <c r="U52" s="96">
        <v>0</v>
      </c>
      <c r="V52" s="95" t="s">
        <v>128</v>
      </c>
    </row>
    <row r="53" spans="1:22" s="102" customFormat="1" ht="94.5" x14ac:dyDescent="0.25">
      <c r="A53" s="31" t="s">
        <v>29</v>
      </c>
      <c r="B53" s="51" t="s">
        <v>130</v>
      </c>
      <c r="C53" s="47" t="s">
        <v>131</v>
      </c>
      <c r="D53" s="75">
        <f>1.794/1.18</f>
        <v>1.5203389830508476</v>
      </c>
      <c r="E53" s="75">
        <v>0.127</v>
      </c>
      <c r="F53" s="75" t="s">
        <v>128</v>
      </c>
      <c r="G53" s="75">
        <v>1.393</v>
      </c>
      <c r="H53" s="75">
        <f t="shared" ref="H53" si="24">J53+L53+N53+P53</f>
        <v>0</v>
      </c>
      <c r="I53" s="75">
        <f t="shared" ref="I53" si="25">K53+M53+O53+Q53</f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103">
        <v>0</v>
      </c>
      <c r="R53" s="75" t="s">
        <v>128</v>
      </c>
      <c r="S53" s="75">
        <f t="shared" ref="S53" si="26">G53-I53</f>
        <v>1.393</v>
      </c>
      <c r="T53" s="75">
        <f>I53-(J53+L53)</f>
        <v>0</v>
      </c>
      <c r="U53" s="101" t="s">
        <v>128</v>
      </c>
      <c r="V53" s="26" t="s">
        <v>165</v>
      </c>
    </row>
    <row r="54" spans="1:22" ht="63" x14ac:dyDescent="0.25">
      <c r="A54" s="54" t="s">
        <v>30</v>
      </c>
      <c r="B54" s="55" t="s">
        <v>90</v>
      </c>
      <c r="C54" s="42" t="s">
        <v>52</v>
      </c>
      <c r="D54" s="74">
        <f>D55+D57</f>
        <v>0</v>
      </c>
      <c r="E54" s="74">
        <f t="shared" ref="E54:T54" si="27">E55+E57</f>
        <v>0</v>
      </c>
      <c r="F54" s="74" t="s">
        <v>128</v>
      </c>
      <c r="G54" s="74">
        <f t="shared" si="27"/>
        <v>3.3058333333333336</v>
      </c>
      <c r="H54" s="74">
        <f t="shared" si="27"/>
        <v>3.3058333333333336</v>
      </c>
      <c r="I54" s="74">
        <f t="shared" si="27"/>
        <v>0</v>
      </c>
      <c r="J54" s="74">
        <f t="shared" si="27"/>
        <v>0</v>
      </c>
      <c r="K54" s="74">
        <f t="shared" si="27"/>
        <v>0</v>
      </c>
      <c r="L54" s="74">
        <f t="shared" si="27"/>
        <v>3.3058333333333336</v>
      </c>
      <c r="M54" s="74">
        <f t="shared" si="27"/>
        <v>0</v>
      </c>
      <c r="N54" s="74">
        <f t="shared" si="27"/>
        <v>0</v>
      </c>
      <c r="O54" s="74">
        <f t="shared" si="27"/>
        <v>0</v>
      </c>
      <c r="P54" s="74">
        <f t="shared" si="27"/>
        <v>0</v>
      </c>
      <c r="Q54" s="74">
        <f t="shared" si="27"/>
        <v>0</v>
      </c>
      <c r="R54" s="74" t="s">
        <v>128</v>
      </c>
      <c r="S54" s="74">
        <f t="shared" si="27"/>
        <v>3.3058333333333336</v>
      </c>
      <c r="T54" s="74">
        <f t="shared" si="27"/>
        <v>-3.3058333333333336</v>
      </c>
      <c r="U54" s="99">
        <v>0</v>
      </c>
      <c r="V54" s="94" t="s">
        <v>128</v>
      </c>
    </row>
    <row r="55" spans="1:22" ht="47.25" x14ac:dyDescent="0.25">
      <c r="A55" s="56" t="s">
        <v>91</v>
      </c>
      <c r="B55" s="53" t="s">
        <v>92</v>
      </c>
      <c r="C55" s="57" t="s">
        <v>52</v>
      </c>
      <c r="D55" s="76">
        <v>0</v>
      </c>
      <c r="E55" s="76">
        <f>E56</f>
        <v>0</v>
      </c>
      <c r="F55" s="76" t="s">
        <v>128</v>
      </c>
      <c r="G55" s="76">
        <f t="shared" ref="G55:Q55" si="28">G56</f>
        <v>3.3058333333333336</v>
      </c>
      <c r="H55" s="76">
        <f t="shared" si="28"/>
        <v>3.3058333333333336</v>
      </c>
      <c r="I55" s="76">
        <f t="shared" si="28"/>
        <v>0</v>
      </c>
      <c r="J55" s="76">
        <f t="shared" si="28"/>
        <v>0</v>
      </c>
      <c r="K55" s="76">
        <f t="shared" si="28"/>
        <v>0</v>
      </c>
      <c r="L55" s="76">
        <f t="shared" si="28"/>
        <v>3.3058333333333336</v>
      </c>
      <c r="M55" s="76">
        <f t="shared" si="28"/>
        <v>0</v>
      </c>
      <c r="N55" s="76">
        <f t="shared" si="28"/>
        <v>0</v>
      </c>
      <c r="O55" s="76">
        <f t="shared" si="28"/>
        <v>0</v>
      </c>
      <c r="P55" s="76">
        <f t="shared" si="28"/>
        <v>0</v>
      </c>
      <c r="Q55" s="76">
        <f t="shared" si="28"/>
        <v>0</v>
      </c>
      <c r="R55" s="76" t="s">
        <v>128</v>
      </c>
      <c r="S55" s="76">
        <f t="shared" ref="S55:T55" si="29">S56</f>
        <v>3.3058333333333336</v>
      </c>
      <c r="T55" s="76">
        <f t="shared" si="29"/>
        <v>-3.3058333333333336</v>
      </c>
      <c r="U55" s="96">
        <v>0</v>
      </c>
      <c r="V55" s="95" t="s">
        <v>128</v>
      </c>
    </row>
    <row r="56" spans="1:22" s="102" customFormat="1" ht="110.25" x14ac:dyDescent="0.25">
      <c r="A56" s="45" t="s">
        <v>91</v>
      </c>
      <c r="B56" s="47" t="s">
        <v>155</v>
      </c>
      <c r="C56" s="17" t="s">
        <v>156</v>
      </c>
      <c r="D56" s="75" t="s">
        <v>128</v>
      </c>
      <c r="E56" s="75">
        <v>0</v>
      </c>
      <c r="F56" s="75" t="s">
        <v>128</v>
      </c>
      <c r="G56" s="75">
        <f>3.967/1.2</f>
        <v>3.3058333333333336</v>
      </c>
      <c r="H56" s="75">
        <f t="shared" ref="H56:I56" si="30">J56+L56+N56+P56</f>
        <v>3.3058333333333336</v>
      </c>
      <c r="I56" s="75">
        <f t="shared" si="30"/>
        <v>0</v>
      </c>
      <c r="J56" s="75">
        <v>0</v>
      </c>
      <c r="K56" s="75">
        <v>0</v>
      </c>
      <c r="L56" s="75">
        <f>3.967/1.2</f>
        <v>3.3058333333333336</v>
      </c>
      <c r="M56" s="75">
        <v>0</v>
      </c>
      <c r="N56" s="75">
        <v>0</v>
      </c>
      <c r="O56" s="75">
        <v>0</v>
      </c>
      <c r="P56" s="75">
        <v>0</v>
      </c>
      <c r="Q56" s="75">
        <v>0</v>
      </c>
      <c r="R56" s="75" t="s">
        <v>128</v>
      </c>
      <c r="S56" s="75">
        <f t="shared" ref="S56" si="31">G56-I56</f>
        <v>3.3058333333333336</v>
      </c>
      <c r="T56" s="75">
        <f>I56-(J56+L56)</f>
        <v>-3.3058333333333336</v>
      </c>
      <c r="U56" s="101">
        <v>0</v>
      </c>
      <c r="V56" s="105" t="s">
        <v>128</v>
      </c>
    </row>
    <row r="57" spans="1:22" ht="63" x14ac:dyDescent="0.25">
      <c r="A57" s="58" t="s">
        <v>93</v>
      </c>
      <c r="B57" s="52" t="s">
        <v>94</v>
      </c>
      <c r="C57" s="59" t="s">
        <v>52</v>
      </c>
      <c r="D57" s="76">
        <v>0</v>
      </c>
      <c r="E57" s="76">
        <v>0</v>
      </c>
      <c r="F57" s="76" t="s">
        <v>128</v>
      </c>
      <c r="G57" s="76">
        <v>0</v>
      </c>
      <c r="H57" s="76">
        <v>0</v>
      </c>
      <c r="I57" s="76">
        <v>0</v>
      </c>
      <c r="J57" s="76">
        <v>0</v>
      </c>
      <c r="K57" s="76">
        <v>0</v>
      </c>
      <c r="L57" s="76">
        <v>0</v>
      </c>
      <c r="M57" s="76">
        <v>0</v>
      </c>
      <c r="N57" s="76">
        <v>0</v>
      </c>
      <c r="O57" s="76">
        <v>0</v>
      </c>
      <c r="P57" s="76">
        <v>0</v>
      </c>
      <c r="Q57" s="76">
        <v>0</v>
      </c>
      <c r="R57" s="76" t="s">
        <v>128</v>
      </c>
      <c r="S57" s="76">
        <v>0</v>
      </c>
      <c r="T57" s="76">
        <v>0</v>
      </c>
      <c r="U57" s="96">
        <v>0</v>
      </c>
      <c r="V57" s="95" t="s">
        <v>128</v>
      </c>
    </row>
    <row r="58" spans="1:22" ht="47.25" x14ac:dyDescent="0.25">
      <c r="A58" s="54" t="s">
        <v>31</v>
      </c>
      <c r="B58" s="55" t="s">
        <v>95</v>
      </c>
      <c r="C58" s="60" t="s">
        <v>52</v>
      </c>
      <c r="D58" s="74">
        <v>0</v>
      </c>
      <c r="E58" s="74">
        <f t="shared" ref="E58" si="32">E59+E60+E63+E64+E65+E66+E67+E68</f>
        <v>0</v>
      </c>
      <c r="F58" s="74" t="s">
        <v>128</v>
      </c>
      <c r="G58" s="74">
        <f>G59+G60+G63+G64+G65+G66+G67+G68</f>
        <v>23.277118644067798</v>
      </c>
      <c r="H58" s="74">
        <f t="shared" ref="H58:T58" si="33">H59+H60+H63+H64+H65+H66+H67+H68</f>
        <v>10.567499999999999</v>
      </c>
      <c r="I58" s="74">
        <f t="shared" si="33"/>
        <v>0</v>
      </c>
      <c r="J58" s="74">
        <f t="shared" si="33"/>
        <v>2.6408333333333336</v>
      </c>
      <c r="K58" s="74">
        <f t="shared" si="33"/>
        <v>0</v>
      </c>
      <c r="L58" s="74">
        <f t="shared" si="33"/>
        <v>2.6408333333333336</v>
      </c>
      <c r="M58" s="74">
        <f t="shared" si="33"/>
        <v>0</v>
      </c>
      <c r="N58" s="74">
        <f t="shared" si="33"/>
        <v>2.6425000000000001</v>
      </c>
      <c r="O58" s="74">
        <f t="shared" si="33"/>
        <v>0</v>
      </c>
      <c r="P58" s="74">
        <f t="shared" si="33"/>
        <v>2.6433333333333335</v>
      </c>
      <c r="Q58" s="74">
        <f t="shared" si="33"/>
        <v>0</v>
      </c>
      <c r="R58" s="74" t="s">
        <v>128</v>
      </c>
      <c r="S58" s="74">
        <f t="shared" si="33"/>
        <v>23.277118644067798</v>
      </c>
      <c r="T58" s="74">
        <f t="shared" si="33"/>
        <v>-5.2816666666666672</v>
      </c>
      <c r="U58" s="99">
        <v>0</v>
      </c>
      <c r="V58" s="94" t="s">
        <v>128</v>
      </c>
    </row>
    <row r="59" spans="1:22" ht="47.25" x14ac:dyDescent="0.25">
      <c r="A59" s="56" t="s">
        <v>32</v>
      </c>
      <c r="B59" s="53" t="s">
        <v>96</v>
      </c>
      <c r="C59" s="59" t="s">
        <v>52</v>
      </c>
      <c r="D59" s="76">
        <v>0</v>
      </c>
      <c r="E59" s="76">
        <v>0</v>
      </c>
      <c r="F59" s="76" t="s">
        <v>128</v>
      </c>
      <c r="G59" s="76">
        <v>0</v>
      </c>
      <c r="H59" s="76">
        <v>0</v>
      </c>
      <c r="I59" s="76">
        <v>0</v>
      </c>
      <c r="J59" s="76">
        <v>0</v>
      </c>
      <c r="K59" s="76">
        <v>0</v>
      </c>
      <c r="L59" s="76">
        <v>0</v>
      </c>
      <c r="M59" s="76">
        <v>0</v>
      </c>
      <c r="N59" s="76">
        <v>0</v>
      </c>
      <c r="O59" s="76">
        <v>0</v>
      </c>
      <c r="P59" s="76">
        <v>0</v>
      </c>
      <c r="Q59" s="76">
        <v>0</v>
      </c>
      <c r="R59" s="76" t="s">
        <v>128</v>
      </c>
      <c r="S59" s="76">
        <v>0</v>
      </c>
      <c r="T59" s="76">
        <v>0</v>
      </c>
      <c r="U59" s="96">
        <v>0</v>
      </c>
      <c r="V59" s="95" t="s">
        <v>128</v>
      </c>
    </row>
    <row r="60" spans="1:22" ht="47.25" x14ac:dyDescent="0.25">
      <c r="A60" s="56" t="s">
        <v>33</v>
      </c>
      <c r="B60" s="53" t="s">
        <v>97</v>
      </c>
      <c r="C60" s="59" t="s">
        <v>52</v>
      </c>
      <c r="D60" s="76" t="s">
        <v>129</v>
      </c>
      <c r="E60" s="89">
        <f>SUM(E61:E62)</f>
        <v>0</v>
      </c>
      <c r="F60" s="89" t="s">
        <v>128</v>
      </c>
      <c r="G60" s="89">
        <f t="shared" ref="G60:T60" si="34">SUM(G61:G62)</f>
        <v>23.277118644067798</v>
      </c>
      <c r="H60" s="89">
        <f t="shared" si="34"/>
        <v>10.567499999999999</v>
      </c>
      <c r="I60" s="89">
        <f t="shared" si="34"/>
        <v>0</v>
      </c>
      <c r="J60" s="89">
        <f t="shared" si="34"/>
        <v>2.6408333333333336</v>
      </c>
      <c r="K60" s="89">
        <f t="shared" si="34"/>
        <v>0</v>
      </c>
      <c r="L60" s="89">
        <f t="shared" si="34"/>
        <v>2.6408333333333336</v>
      </c>
      <c r="M60" s="89">
        <f t="shared" si="34"/>
        <v>0</v>
      </c>
      <c r="N60" s="89">
        <f t="shared" si="34"/>
        <v>2.6425000000000001</v>
      </c>
      <c r="O60" s="89">
        <f t="shared" si="34"/>
        <v>0</v>
      </c>
      <c r="P60" s="89">
        <f t="shared" si="34"/>
        <v>2.6433333333333335</v>
      </c>
      <c r="Q60" s="89">
        <f t="shared" si="34"/>
        <v>0</v>
      </c>
      <c r="R60" s="89" t="s">
        <v>128</v>
      </c>
      <c r="S60" s="89">
        <f t="shared" si="34"/>
        <v>23.277118644067798</v>
      </c>
      <c r="T60" s="76">
        <f t="shared" si="34"/>
        <v>-5.2816666666666672</v>
      </c>
      <c r="U60" s="96">
        <v>0</v>
      </c>
      <c r="V60" s="95" t="s">
        <v>128</v>
      </c>
    </row>
    <row r="61" spans="1:22" ht="63" x14ac:dyDescent="0.25">
      <c r="A61" s="61" t="s">
        <v>33</v>
      </c>
      <c r="B61" s="51" t="s">
        <v>98</v>
      </c>
      <c r="C61" s="7" t="s">
        <v>99</v>
      </c>
      <c r="D61" s="80" t="s">
        <v>129</v>
      </c>
      <c r="E61" s="80">
        <v>0</v>
      </c>
      <c r="F61" s="80" t="s">
        <v>129</v>
      </c>
      <c r="G61" s="75">
        <f>3.866/1.18</f>
        <v>3.2762711864406784</v>
      </c>
      <c r="H61" s="80">
        <f>P61+N61+L61+J61</f>
        <v>0.21166666666666667</v>
      </c>
      <c r="I61" s="80">
        <v>0</v>
      </c>
      <c r="J61" s="80">
        <f>0.063/1.2</f>
        <v>5.2500000000000005E-2</v>
      </c>
      <c r="K61" s="80">
        <v>0</v>
      </c>
      <c r="L61" s="80">
        <f>0.063/1.2</f>
        <v>5.2500000000000005E-2</v>
      </c>
      <c r="M61" s="80">
        <v>0</v>
      </c>
      <c r="N61" s="80">
        <f>0.064/1.2</f>
        <v>5.3333333333333337E-2</v>
      </c>
      <c r="O61" s="80">
        <v>0</v>
      </c>
      <c r="P61" s="80">
        <f>0.064/1.2</f>
        <v>5.3333333333333337E-2</v>
      </c>
      <c r="Q61" s="80">
        <v>0</v>
      </c>
      <c r="R61" s="80" t="s">
        <v>128</v>
      </c>
      <c r="S61" s="80">
        <f t="shared" ref="S61:S62" si="35">G61-I61</f>
        <v>3.2762711864406784</v>
      </c>
      <c r="T61" s="80">
        <f t="shared" ref="T61:T62" si="36">I61-(J61+L61)</f>
        <v>-0.10500000000000001</v>
      </c>
      <c r="U61" s="98">
        <v>0</v>
      </c>
      <c r="V61" s="104" t="s">
        <v>158</v>
      </c>
    </row>
    <row r="62" spans="1:22" ht="141.75" x14ac:dyDescent="0.25">
      <c r="A62" s="61" t="s">
        <v>33</v>
      </c>
      <c r="B62" s="62" t="s">
        <v>100</v>
      </c>
      <c r="C62" s="25" t="s">
        <v>101</v>
      </c>
      <c r="D62" s="80" t="s">
        <v>129</v>
      </c>
      <c r="E62" s="80">
        <v>0</v>
      </c>
      <c r="F62" s="80" t="s">
        <v>129</v>
      </c>
      <c r="G62" s="75">
        <f>23.601/1.18</f>
        <v>20.00084745762712</v>
      </c>
      <c r="H62" s="80">
        <f>P62+N62+L62+J62</f>
        <v>10.355833333333333</v>
      </c>
      <c r="I62" s="80">
        <v>0</v>
      </c>
      <c r="J62" s="80">
        <f>3.106/1.2</f>
        <v>2.5883333333333334</v>
      </c>
      <c r="K62" s="80">
        <v>0</v>
      </c>
      <c r="L62" s="80">
        <f>3.106/1.2</f>
        <v>2.5883333333333334</v>
      </c>
      <c r="M62" s="80">
        <v>0</v>
      </c>
      <c r="N62" s="80">
        <f>3.107/1.2</f>
        <v>2.5891666666666668</v>
      </c>
      <c r="O62" s="80">
        <v>0</v>
      </c>
      <c r="P62" s="80">
        <f>3.108/1.2</f>
        <v>2.5900000000000003</v>
      </c>
      <c r="Q62" s="80">
        <v>0</v>
      </c>
      <c r="R62" s="80" t="s">
        <v>128</v>
      </c>
      <c r="S62" s="80">
        <f t="shared" si="35"/>
        <v>20.00084745762712</v>
      </c>
      <c r="T62" s="80">
        <f t="shared" si="36"/>
        <v>-5.1766666666666667</v>
      </c>
      <c r="U62" s="98">
        <v>0</v>
      </c>
      <c r="V62" s="104" t="s">
        <v>159</v>
      </c>
    </row>
    <row r="63" spans="1:22" ht="47.25" x14ac:dyDescent="0.25">
      <c r="A63" s="58" t="s">
        <v>34</v>
      </c>
      <c r="B63" s="52" t="s">
        <v>102</v>
      </c>
      <c r="C63" s="53" t="s">
        <v>52</v>
      </c>
      <c r="D63" s="76">
        <v>0</v>
      </c>
      <c r="E63" s="76">
        <v>0</v>
      </c>
      <c r="F63" s="76" t="s">
        <v>128</v>
      </c>
      <c r="G63" s="76">
        <v>0</v>
      </c>
      <c r="H63" s="76">
        <v>0</v>
      </c>
      <c r="I63" s="76">
        <v>0</v>
      </c>
      <c r="J63" s="76">
        <v>0</v>
      </c>
      <c r="K63" s="76">
        <v>0</v>
      </c>
      <c r="L63" s="76">
        <v>0</v>
      </c>
      <c r="M63" s="76">
        <v>0</v>
      </c>
      <c r="N63" s="76">
        <v>0</v>
      </c>
      <c r="O63" s="76">
        <v>0</v>
      </c>
      <c r="P63" s="76">
        <v>0</v>
      </c>
      <c r="Q63" s="76">
        <v>0</v>
      </c>
      <c r="R63" s="76" t="s">
        <v>128</v>
      </c>
      <c r="S63" s="76">
        <v>0</v>
      </c>
      <c r="T63" s="76">
        <v>0</v>
      </c>
      <c r="U63" s="96">
        <v>0</v>
      </c>
      <c r="V63" s="95" t="s">
        <v>128</v>
      </c>
    </row>
    <row r="64" spans="1:22" ht="47.25" x14ac:dyDescent="0.25">
      <c r="A64" s="58" t="s">
        <v>35</v>
      </c>
      <c r="B64" s="52" t="s">
        <v>103</v>
      </c>
      <c r="C64" s="53" t="s">
        <v>52</v>
      </c>
      <c r="D64" s="76">
        <v>0</v>
      </c>
      <c r="E64" s="76">
        <v>0</v>
      </c>
      <c r="F64" s="76" t="s">
        <v>128</v>
      </c>
      <c r="G64" s="76">
        <v>0</v>
      </c>
      <c r="H64" s="76">
        <v>0</v>
      </c>
      <c r="I64" s="76">
        <v>0</v>
      </c>
      <c r="J64" s="76">
        <v>0</v>
      </c>
      <c r="K64" s="76">
        <v>0</v>
      </c>
      <c r="L64" s="76">
        <v>0</v>
      </c>
      <c r="M64" s="76">
        <v>0</v>
      </c>
      <c r="N64" s="76">
        <v>0</v>
      </c>
      <c r="O64" s="76">
        <v>0</v>
      </c>
      <c r="P64" s="76">
        <v>0</v>
      </c>
      <c r="Q64" s="76">
        <v>0</v>
      </c>
      <c r="R64" s="76" t="s">
        <v>128</v>
      </c>
      <c r="S64" s="76">
        <v>0</v>
      </c>
      <c r="T64" s="76">
        <v>0</v>
      </c>
      <c r="U64" s="96">
        <v>0</v>
      </c>
      <c r="V64" s="95" t="s">
        <v>128</v>
      </c>
    </row>
    <row r="65" spans="1:22" ht="63" x14ac:dyDescent="0.25">
      <c r="A65" s="58" t="s">
        <v>36</v>
      </c>
      <c r="B65" s="52" t="s">
        <v>104</v>
      </c>
      <c r="C65" s="53" t="s">
        <v>52</v>
      </c>
      <c r="D65" s="76">
        <v>0</v>
      </c>
      <c r="E65" s="76">
        <v>0</v>
      </c>
      <c r="F65" s="76" t="s">
        <v>128</v>
      </c>
      <c r="G65" s="76">
        <v>0</v>
      </c>
      <c r="H65" s="76">
        <v>0</v>
      </c>
      <c r="I65" s="76">
        <v>0</v>
      </c>
      <c r="J65" s="76">
        <v>0</v>
      </c>
      <c r="K65" s="76">
        <v>0</v>
      </c>
      <c r="L65" s="76">
        <v>0</v>
      </c>
      <c r="M65" s="76">
        <v>0</v>
      </c>
      <c r="N65" s="76">
        <v>0</v>
      </c>
      <c r="O65" s="76">
        <v>0</v>
      </c>
      <c r="P65" s="76">
        <v>0</v>
      </c>
      <c r="Q65" s="76">
        <v>0</v>
      </c>
      <c r="R65" s="76" t="s">
        <v>128</v>
      </c>
      <c r="S65" s="76">
        <v>0</v>
      </c>
      <c r="T65" s="76">
        <v>0</v>
      </c>
      <c r="U65" s="96">
        <v>0</v>
      </c>
      <c r="V65" s="95" t="s">
        <v>128</v>
      </c>
    </row>
    <row r="66" spans="1:22" ht="63" x14ac:dyDescent="0.25">
      <c r="A66" s="58" t="s">
        <v>37</v>
      </c>
      <c r="B66" s="52" t="s">
        <v>105</v>
      </c>
      <c r="C66" s="63" t="s">
        <v>52</v>
      </c>
      <c r="D66" s="76">
        <v>0</v>
      </c>
      <c r="E66" s="76">
        <v>0</v>
      </c>
      <c r="F66" s="76" t="s">
        <v>128</v>
      </c>
      <c r="G66" s="76">
        <v>0</v>
      </c>
      <c r="H66" s="76">
        <v>0</v>
      </c>
      <c r="I66" s="76">
        <v>0</v>
      </c>
      <c r="J66" s="76">
        <v>0</v>
      </c>
      <c r="K66" s="76">
        <v>0</v>
      </c>
      <c r="L66" s="76">
        <v>0</v>
      </c>
      <c r="M66" s="76">
        <v>0</v>
      </c>
      <c r="N66" s="76">
        <v>0</v>
      </c>
      <c r="O66" s="76">
        <v>0</v>
      </c>
      <c r="P66" s="76">
        <v>0</v>
      </c>
      <c r="Q66" s="76">
        <v>0</v>
      </c>
      <c r="R66" s="76" t="s">
        <v>128</v>
      </c>
      <c r="S66" s="76">
        <v>0</v>
      </c>
      <c r="T66" s="76">
        <v>0</v>
      </c>
      <c r="U66" s="96">
        <v>0</v>
      </c>
      <c r="V66" s="95" t="s">
        <v>128</v>
      </c>
    </row>
    <row r="67" spans="1:22" ht="63" x14ac:dyDescent="0.25">
      <c r="A67" s="58" t="s">
        <v>38</v>
      </c>
      <c r="B67" s="52" t="s">
        <v>106</v>
      </c>
      <c r="C67" s="63" t="s">
        <v>52</v>
      </c>
      <c r="D67" s="76">
        <v>0</v>
      </c>
      <c r="E67" s="76">
        <v>0</v>
      </c>
      <c r="F67" s="76" t="s">
        <v>128</v>
      </c>
      <c r="G67" s="76">
        <v>0</v>
      </c>
      <c r="H67" s="76">
        <v>0</v>
      </c>
      <c r="I67" s="76">
        <v>0</v>
      </c>
      <c r="J67" s="76">
        <v>0</v>
      </c>
      <c r="K67" s="76">
        <v>0</v>
      </c>
      <c r="L67" s="76">
        <v>0</v>
      </c>
      <c r="M67" s="76">
        <v>0</v>
      </c>
      <c r="N67" s="76">
        <v>0</v>
      </c>
      <c r="O67" s="76">
        <v>0</v>
      </c>
      <c r="P67" s="76">
        <v>0</v>
      </c>
      <c r="Q67" s="76">
        <v>0</v>
      </c>
      <c r="R67" s="76" t="s">
        <v>128</v>
      </c>
      <c r="S67" s="76">
        <v>0</v>
      </c>
      <c r="T67" s="76">
        <v>0</v>
      </c>
      <c r="U67" s="96">
        <v>0</v>
      </c>
      <c r="V67" s="95" t="s">
        <v>128</v>
      </c>
    </row>
    <row r="68" spans="1:22" ht="63" x14ac:dyDescent="0.25">
      <c r="A68" s="58" t="s">
        <v>107</v>
      </c>
      <c r="B68" s="52" t="s">
        <v>108</v>
      </c>
      <c r="C68" s="63" t="s">
        <v>52</v>
      </c>
      <c r="D68" s="76">
        <v>0</v>
      </c>
      <c r="E68" s="76">
        <v>0</v>
      </c>
      <c r="F68" s="76" t="s">
        <v>128</v>
      </c>
      <c r="G68" s="76">
        <v>0</v>
      </c>
      <c r="H68" s="76">
        <v>0</v>
      </c>
      <c r="I68" s="76">
        <v>0</v>
      </c>
      <c r="J68" s="76">
        <v>0</v>
      </c>
      <c r="K68" s="76">
        <v>0</v>
      </c>
      <c r="L68" s="76">
        <v>0</v>
      </c>
      <c r="M68" s="76">
        <v>0</v>
      </c>
      <c r="N68" s="76">
        <v>0</v>
      </c>
      <c r="O68" s="76">
        <v>0</v>
      </c>
      <c r="P68" s="76">
        <v>0</v>
      </c>
      <c r="Q68" s="76">
        <v>0</v>
      </c>
      <c r="R68" s="76" t="s">
        <v>128</v>
      </c>
      <c r="S68" s="76">
        <v>0</v>
      </c>
      <c r="T68" s="76">
        <v>0</v>
      </c>
      <c r="U68" s="96">
        <v>0</v>
      </c>
      <c r="V68" s="95" t="s">
        <v>128</v>
      </c>
    </row>
    <row r="69" spans="1:22" ht="63" x14ac:dyDescent="0.25">
      <c r="A69" s="40" t="s">
        <v>109</v>
      </c>
      <c r="B69" s="64" t="s">
        <v>110</v>
      </c>
      <c r="C69" s="55" t="s">
        <v>52</v>
      </c>
      <c r="D69" s="74">
        <f>D70+D71</f>
        <v>0</v>
      </c>
      <c r="E69" s="74">
        <f>E70+E71</f>
        <v>0</v>
      </c>
      <c r="F69" s="74" t="s">
        <v>128</v>
      </c>
      <c r="G69" s="74">
        <f t="shared" ref="G69:Q69" si="37">G70+G71</f>
        <v>0</v>
      </c>
      <c r="H69" s="74">
        <f t="shared" si="37"/>
        <v>0</v>
      </c>
      <c r="I69" s="74">
        <f t="shared" si="37"/>
        <v>0</v>
      </c>
      <c r="J69" s="74">
        <f t="shared" si="37"/>
        <v>0</v>
      </c>
      <c r="K69" s="74">
        <f t="shared" si="37"/>
        <v>0</v>
      </c>
      <c r="L69" s="74">
        <f t="shared" si="37"/>
        <v>0</v>
      </c>
      <c r="M69" s="74">
        <f t="shared" si="37"/>
        <v>0</v>
      </c>
      <c r="N69" s="74">
        <f t="shared" si="37"/>
        <v>0</v>
      </c>
      <c r="O69" s="74">
        <f t="shared" si="37"/>
        <v>0</v>
      </c>
      <c r="P69" s="74">
        <f t="shared" si="37"/>
        <v>0</v>
      </c>
      <c r="Q69" s="74">
        <f t="shared" si="37"/>
        <v>0</v>
      </c>
      <c r="R69" s="74" t="s">
        <v>128</v>
      </c>
      <c r="S69" s="74">
        <f t="shared" ref="S69:T69" si="38">S70+S71</f>
        <v>0</v>
      </c>
      <c r="T69" s="74">
        <f t="shared" si="38"/>
        <v>0</v>
      </c>
      <c r="U69" s="99">
        <v>0</v>
      </c>
      <c r="V69" s="94" t="s">
        <v>128</v>
      </c>
    </row>
    <row r="70" spans="1:22" ht="47.25" x14ac:dyDescent="0.25">
      <c r="A70" s="58" t="s">
        <v>111</v>
      </c>
      <c r="B70" s="52" t="s">
        <v>112</v>
      </c>
      <c r="C70" s="53" t="s">
        <v>52</v>
      </c>
      <c r="D70" s="76">
        <v>0</v>
      </c>
      <c r="E70" s="76">
        <v>0</v>
      </c>
      <c r="F70" s="76" t="s">
        <v>128</v>
      </c>
      <c r="G70" s="76">
        <v>0</v>
      </c>
      <c r="H70" s="76">
        <v>0</v>
      </c>
      <c r="I70" s="76">
        <v>0</v>
      </c>
      <c r="J70" s="76">
        <v>0</v>
      </c>
      <c r="K70" s="76">
        <v>0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76">
        <v>0</v>
      </c>
      <c r="R70" s="76" t="s">
        <v>128</v>
      </c>
      <c r="S70" s="76">
        <v>0</v>
      </c>
      <c r="T70" s="76">
        <v>0</v>
      </c>
      <c r="U70" s="96">
        <v>0</v>
      </c>
      <c r="V70" s="95" t="s">
        <v>128</v>
      </c>
    </row>
    <row r="71" spans="1:22" ht="63" x14ac:dyDescent="0.25">
      <c r="A71" s="58" t="s">
        <v>113</v>
      </c>
      <c r="B71" s="52" t="s">
        <v>114</v>
      </c>
      <c r="C71" s="53" t="s">
        <v>52</v>
      </c>
      <c r="D71" s="76">
        <v>0</v>
      </c>
      <c r="E71" s="76">
        <v>0</v>
      </c>
      <c r="F71" s="76" t="s">
        <v>128</v>
      </c>
      <c r="G71" s="76">
        <v>0</v>
      </c>
      <c r="H71" s="76">
        <v>0</v>
      </c>
      <c r="I71" s="76">
        <v>0</v>
      </c>
      <c r="J71" s="76">
        <v>0</v>
      </c>
      <c r="K71" s="76">
        <v>0</v>
      </c>
      <c r="L71" s="76">
        <v>0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76" t="s">
        <v>128</v>
      </c>
      <c r="S71" s="76">
        <v>0</v>
      </c>
      <c r="T71" s="76">
        <v>0</v>
      </c>
      <c r="U71" s="96">
        <v>0</v>
      </c>
      <c r="V71" s="95" t="s">
        <v>128</v>
      </c>
    </row>
    <row r="72" spans="1:22" ht="94.5" x14ac:dyDescent="0.25">
      <c r="A72" s="38" t="s">
        <v>39</v>
      </c>
      <c r="B72" s="65" t="s">
        <v>115</v>
      </c>
      <c r="C72" s="66" t="s">
        <v>52</v>
      </c>
      <c r="D72" s="73">
        <f>D73+D74</f>
        <v>0</v>
      </c>
      <c r="E72" s="73">
        <f>E73+E74</f>
        <v>0</v>
      </c>
      <c r="F72" s="73" t="s">
        <v>128</v>
      </c>
      <c r="G72" s="73">
        <f t="shared" ref="G72:Q72" si="39">G73+G74</f>
        <v>0</v>
      </c>
      <c r="H72" s="73">
        <f t="shared" si="39"/>
        <v>0</v>
      </c>
      <c r="I72" s="73">
        <f t="shared" si="39"/>
        <v>0</v>
      </c>
      <c r="J72" s="73">
        <f t="shared" si="39"/>
        <v>0</v>
      </c>
      <c r="K72" s="73">
        <f t="shared" si="39"/>
        <v>0</v>
      </c>
      <c r="L72" s="73">
        <f t="shared" si="39"/>
        <v>0</v>
      </c>
      <c r="M72" s="73">
        <f t="shared" si="39"/>
        <v>0</v>
      </c>
      <c r="N72" s="73">
        <f t="shared" si="39"/>
        <v>0</v>
      </c>
      <c r="O72" s="73">
        <f t="shared" si="39"/>
        <v>0</v>
      </c>
      <c r="P72" s="73">
        <f t="shared" si="39"/>
        <v>0</v>
      </c>
      <c r="Q72" s="73">
        <f t="shared" si="39"/>
        <v>0</v>
      </c>
      <c r="R72" s="73" t="s">
        <v>128</v>
      </c>
      <c r="S72" s="73">
        <f t="shared" ref="S72:U72" si="40">S73+S74</f>
        <v>0</v>
      </c>
      <c r="T72" s="73">
        <f t="shared" si="40"/>
        <v>0</v>
      </c>
      <c r="U72" s="97">
        <f t="shared" si="40"/>
        <v>0</v>
      </c>
      <c r="V72" s="93" t="s">
        <v>128</v>
      </c>
    </row>
    <row r="73" spans="1:22" ht="78.75" x14ac:dyDescent="0.25">
      <c r="A73" s="40" t="s">
        <v>116</v>
      </c>
      <c r="B73" s="64" t="s">
        <v>117</v>
      </c>
      <c r="C73" s="55" t="s">
        <v>52</v>
      </c>
      <c r="D73" s="74">
        <v>0</v>
      </c>
      <c r="E73" s="74">
        <v>0</v>
      </c>
      <c r="F73" s="74" t="s">
        <v>128</v>
      </c>
      <c r="G73" s="74">
        <v>0</v>
      </c>
      <c r="H73" s="74">
        <v>0</v>
      </c>
      <c r="I73" s="74">
        <v>0</v>
      </c>
      <c r="J73" s="74">
        <v>0</v>
      </c>
      <c r="K73" s="74">
        <v>0</v>
      </c>
      <c r="L73" s="74">
        <v>0</v>
      </c>
      <c r="M73" s="74">
        <v>0</v>
      </c>
      <c r="N73" s="74">
        <v>0</v>
      </c>
      <c r="O73" s="74">
        <v>0</v>
      </c>
      <c r="P73" s="74">
        <v>0</v>
      </c>
      <c r="Q73" s="74">
        <v>0</v>
      </c>
      <c r="R73" s="74" t="s">
        <v>128</v>
      </c>
      <c r="S73" s="74">
        <v>0</v>
      </c>
      <c r="T73" s="74">
        <v>0</v>
      </c>
      <c r="U73" s="99">
        <v>0</v>
      </c>
      <c r="V73" s="94" t="s">
        <v>128</v>
      </c>
    </row>
    <row r="74" spans="1:22" ht="78.75" x14ac:dyDescent="0.25">
      <c r="A74" s="40" t="s">
        <v>118</v>
      </c>
      <c r="B74" s="64" t="s">
        <v>119</v>
      </c>
      <c r="C74" s="55" t="s">
        <v>52</v>
      </c>
      <c r="D74" s="74">
        <v>0</v>
      </c>
      <c r="E74" s="74">
        <v>0</v>
      </c>
      <c r="F74" s="74" t="s">
        <v>128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</v>
      </c>
      <c r="M74" s="74">
        <v>0</v>
      </c>
      <c r="N74" s="74">
        <v>0</v>
      </c>
      <c r="O74" s="74">
        <v>0</v>
      </c>
      <c r="P74" s="74">
        <v>0</v>
      </c>
      <c r="Q74" s="74">
        <v>0</v>
      </c>
      <c r="R74" s="74" t="s">
        <v>128</v>
      </c>
      <c r="S74" s="74">
        <v>0</v>
      </c>
      <c r="T74" s="74">
        <v>0</v>
      </c>
      <c r="U74" s="99">
        <v>0</v>
      </c>
      <c r="V74" s="94" t="s">
        <v>128</v>
      </c>
    </row>
    <row r="75" spans="1:22" ht="47.25" x14ac:dyDescent="0.25">
      <c r="A75" s="67" t="s">
        <v>40</v>
      </c>
      <c r="B75" s="66" t="s">
        <v>120</v>
      </c>
      <c r="C75" s="39" t="s">
        <v>52</v>
      </c>
      <c r="D75" s="73">
        <v>0</v>
      </c>
      <c r="E75" s="73">
        <v>0</v>
      </c>
      <c r="F75" s="73" t="s">
        <v>128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</v>
      </c>
      <c r="P75" s="73">
        <v>0</v>
      </c>
      <c r="Q75" s="73">
        <v>0</v>
      </c>
      <c r="R75" s="73" t="s">
        <v>128</v>
      </c>
      <c r="S75" s="73">
        <v>0</v>
      </c>
      <c r="T75" s="73">
        <v>0</v>
      </c>
      <c r="U75" s="97">
        <v>0</v>
      </c>
      <c r="V75" s="93" t="s">
        <v>128</v>
      </c>
    </row>
    <row r="76" spans="1:22" ht="63" x14ac:dyDescent="0.25">
      <c r="A76" s="38" t="s">
        <v>121</v>
      </c>
      <c r="B76" s="68" t="s">
        <v>122</v>
      </c>
      <c r="C76" s="69" t="s">
        <v>52</v>
      </c>
      <c r="D76" s="78">
        <v>0</v>
      </c>
      <c r="E76" s="78">
        <v>0</v>
      </c>
      <c r="F76" s="78" t="s">
        <v>128</v>
      </c>
      <c r="G76" s="78">
        <v>0</v>
      </c>
      <c r="H76" s="78">
        <v>0</v>
      </c>
      <c r="I76" s="78">
        <v>0</v>
      </c>
      <c r="J76" s="78">
        <v>0</v>
      </c>
      <c r="K76" s="78">
        <v>0</v>
      </c>
      <c r="L76" s="78">
        <v>0</v>
      </c>
      <c r="M76" s="78">
        <v>0</v>
      </c>
      <c r="N76" s="78">
        <v>0</v>
      </c>
      <c r="O76" s="78">
        <v>0</v>
      </c>
      <c r="P76" s="78">
        <v>0</v>
      </c>
      <c r="Q76" s="78">
        <v>0</v>
      </c>
      <c r="R76" s="78" t="s">
        <v>128</v>
      </c>
      <c r="S76" s="78">
        <v>0</v>
      </c>
      <c r="T76" s="73">
        <v>0</v>
      </c>
      <c r="U76" s="97">
        <v>0</v>
      </c>
      <c r="V76" s="81" t="s">
        <v>128</v>
      </c>
    </row>
    <row r="77" spans="1:22" ht="31.5" x14ac:dyDescent="0.25">
      <c r="A77" s="67" t="s">
        <v>41</v>
      </c>
      <c r="B77" s="66" t="s">
        <v>123</v>
      </c>
      <c r="C77" s="39" t="s">
        <v>52</v>
      </c>
      <c r="D77" s="73">
        <f>SUM(D78:D81)</f>
        <v>14.472576271186441</v>
      </c>
      <c r="E77" s="73">
        <f>SUM(E78:E81)</f>
        <v>2.4409999999999998</v>
      </c>
      <c r="F77" s="73" t="s">
        <v>128</v>
      </c>
      <c r="G77" s="73">
        <f t="shared" ref="G77:T77" si="41">SUM(G78:G81)</f>
        <v>24.117570621468928</v>
      </c>
      <c r="H77" s="73">
        <f t="shared" si="41"/>
        <v>0</v>
      </c>
      <c r="I77" s="73">
        <f t="shared" si="41"/>
        <v>9.636600829999999</v>
      </c>
      <c r="J77" s="73">
        <f t="shared" si="41"/>
        <v>0</v>
      </c>
      <c r="K77" s="73">
        <f t="shared" si="41"/>
        <v>0.13434071000000003</v>
      </c>
      <c r="L77" s="73">
        <f t="shared" si="41"/>
        <v>0</v>
      </c>
      <c r="M77" s="73">
        <f t="shared" si="41"/>
        <v>9.3822601199999998</v>
      </c>
      <c r="N77" s="73">
        <f t="shared" si="41"/>
        <v>0</v>
      </c>
      <c r="O77" s="73">
        <f t="shared" si="41"/>
        <v>0.12</v>
      </c>
      <c r="P77" s="73">
        <f t="shared" si="41"/>
        <v>0</v>
      </c>
      <c r="Q77" s="73">
        <f t="shared" si="41"/>
        <v>0</v>
      </c>
      <c r="R77" s="73">
        <f t="shared" si="41"/>
        <v>0</v>
      </c>
      <c r="S77" s="73">
        <f t="shared" si="41"/>
        <v>14.480969791468926</v>
      </c>
      <c r="T77" s="73">
        <f t="shared" si="41"/>
        <v>9.636600829999999</v>
      </c>
      <c r="U77" s="97" t="s">
        <v>128</v>
      </c>
      <c r="V77" s="93" t="s">
        <v>128</v>
      </c>
    </row>
    <row r="78" spans="1:22" ht="126" x14ac:dyDescent="0.25">
      <c r="A78" s="61" t="s">
        <v>41</v>
      </c>
      <c r="B78" s="51" t="s">
        <v>124</v>
      </c>
      <c r="C78" s="70" t="s">
        <v>125</v>
      </c>
      <c r="D78" s="18">
        <f>5.998</f>
        <v>5.9980000000000002</v>
      </c>
      <c r="E78" s="80">
        <v>0</v>
      </c>
      <c r="F78" s="18" t="s">
        <v>128</v>
      </c>
      <c r="G78" s="80">
        <f>9.003/1.18</f>
        <v>7.6296610169491528</v>
      </c>
      <c r="H78" s="80">
        <f t="shared" ref="H78" si="42">J78+L78+N78+P78</f>
        <v>0</v>
      </c>
      <c r="I78" s="80">
        <f t="shared" ref="I78" si="43">K78+M78+O78+Q78</f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 t="s">
        <v>128</v>
      </c>
      <c r="S78" s="80">
        <f t="shared" ref="S78:S81" si="44">G78-I78</f>
        <v>7.6296610169491528</v>
      </c>
      <c r="T78" s="80">
        <f t="shared" ref="T78:T81" si="45">I78-(J78+L78)</f>
        <v>0</v>
      </c>
      <c r="U78" s="98" t="s">
        <v>128</v>
      </c>
      <c r="V78" s="26" t="s">
        <v>128</v>
      </c>
    </row>
    <row r="79" spans="1:22" ht="236.25" x14ac:dyDescent="0.25">
      <c r="A79" s="61" t="s">
        <v>41</v>
      </c>
      <c r="B79" s="51" t="s">
        <v>132</v>
      </c>
      <c r="C79" s="70" t="s">
        <v>133</v>
      </c>
      <c r="D79" s="18">
        <f>10/1.18</f>
        <v>8.4745762711864412</v>
      </c>
      <c r="E79" s="80">
        <v>0.44500000000000001</v>
      </c>
      <c r="F79" s="18" t="s">
        <v>128</v>
      </c>
      <c r="G79" s="18">
        <f>10/1.18-E79</f>
        <v>8.0295762711864409</v>
      </c>
      <c r="H79" s="80">
        <f>J79+L79+N79+P79</f>
        <v>0</v>
      </c>
      <c r="I79" s="80">
        <f t="shared" ref="I79:I81" si="46">K79+M79+O79+Q79</f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103">
        <v>0</v>
      </c>
      <c r="R79" s="80" t="s">
        <v>128</v>
      </c>
      <c r="S79" s="80">
        <f t="shared" si="44"/>
        <v>8.0295762711864409</v>
      </c>
      <c r="T79" s="100">
        <f t="shared" si="45"/>
        <v>0</v>
      </c>
      <c r="U79" s="22" t="s">
        <v>128</v>
      </c>
      <c r="V79" s="26" t="s">
        <v>164</v>
      </c>
    </row>
    <row r="80" spans="1:22" ht="189" x14ac:dyDescent="0.25">
      <c r="A80" s="71" t="s">
        <v>41</v>
      </c>
      <c r="B80" s="51" t="s">
        <v>126</v>
      </c>
      <c r="C80" s="70" t="s">
        <v>127</v>
      </c>
      <c r="D80" s="75" t="s">
        <v>128</v>
      </c>
      <c r="E80" s="24" t="s">
        <v>128</v>
      </c>
      <c r="F80" s="75" t="s">
        <v>128</v>
      </c>
      <c r="G80" s="80">
        <v>0</v>
      </c>
      <c r="H80" s="80" t="s">
        <v>128</v>
      </c>
      <c r="I80" s="80">
        <f t="shared" si="46"/>
        <v>1.1789737100000002</v>
      </c>
      <c r="J80" s="90">
        <v>0</v>
      </c>
      <c r="K80" s="103">
        <f>(50037.89+84302.82)/1000000</f>
        <v>0.13434071000000003</v>
      </c>
      <c r="L80" s="90">
        <v>0</v>
      </c>
      <c r="M80" s="103">
        <f>0.215633+0.709</f>
        <v>0.92463299999999993</v>
      </c>
      <c r="N80" s="90">
        <v>0</v>
      </c>
      <c r="O80" s="90">
        <v>0.12</v>
      </c>
      <c r="P80" s="90">
        <v>0</v>
      </c>
      <c r="Q80" s="90">
        <v>0</v>
      </c>
      <c r="R80" s="80" t="s">
        <v>128</v>
      </c>
      <c r="S80" s="80">
        <f t="shared" si="44"/>
        <v>-1.1789737100000002</v>
      </c>
      <c r="T80" s="80">
        <f t="shared" si="45"/>
        <v>1.1789737100000002</v>
      </c>
      <c r="U80" s="79" t="s">
        <v>128</v>
      </c>
      <c r="V80" s="26" t="s">
        <v>167</v>
      </c>
    </row>
    <row r="81" spans="1:22" ht="47.25" x14ac:dyDescent="0.25">
      <c r="A81" s="71" t="s">
        <v>41</v>
      </c>
      <c r="B81" s="51" t="s">
        <v>150</v>
      </c>
      <c r="C81" s="70" t="s">
        <v>151</v>
      </c>
      <c r="D81" s="75" t="s">
        <v>128</v>
      </c>
      <c r="E81" s="24">
        <v>1.996</v>
      </c>
      <c r="F81" s="75" t="s">
        <v>128</v>
      </c>
      <c r="G81" s="75">
        <f>10.15/1.2</f>
        <v>8.4583333333333339</v>
      </c>
      <c r="H81" s="80">
        <f>J81+L81+N81+P81</f>
        <v>0</v>
      </c>
      <c r="I81" s="80">
        <f t="shared" si="46"/>
        <v>8.4576271199999997</v>
      </c>
      <c r="J81" s="80">
        <v>0</v>
      </c>
      <c r="K81" s="80">
        <v>0</v>
      </c>
      <c r="L81" s="80">
        <v>0</v>
      </c>
      <c r="M81" s="103">
        <f>8.45762712</f>
        <v>8.4576271199999997</v>
      </c>
      <c r="N81" s="80">
        <v>0</v>
      </c>
      <c r="O81" s="80">
        <v>0</v>
      </c>
      <c r="P81" s="80">
        <v>0</v>
      </c>
      <c r="Q81" s="103">
        <v>0</v>
      </c>
      <c r="R81" s="80" t="s">
        <v>128</v>
      </c>
      <c r="S81" s="80">
        <f t="shared" si="44"/>
        <v>7.0621333333420466E-4</v>
      </c>
      <c r="T81" s="80">
        <f t="shared" si="45"/>
        <v>8.4576271199999997</v>
      </c>
      <c r="U81" s="79" t="s">
        <v>128</v>
      </c>
      <c r="V81" s="26" t="s">
        <v>160</v>
      </c>
    </row>
    <row r="82" spans="1:22" s="86" customFormat="1" x14ac:dyDescent="0.25">
      <c r="A82" s="106" t="s">
        <v>18</v>
      </c>
      <c r="B82" s="107"/>
      <c r="C82" s="108"/>
      <c r="D82" s="83">
        <f>D20</f>
        <v>15.992915254237289</v>
      </c>
      <c r="E82" s="83">
        <f t="shared" ref="E82:V82" si="47">E20</f>
        <v>20.943231796610167</v>
      </c>
      <c r="F82" s="83" t="str">
        <f t="shared" si="47"/>
        <v>нд</v>
      </c>
      <c r="G82" s="83">
        <f t="shared" si="47"/>
        <v>98.352971748870061</v>
      </c>
      <c r="H82" s="83">
        <f t="shared" si="47"/>
        <v>13.873333333333333</v>
      </c>
      <c r="I82" s="83">
        <f t="shared" si="47"/>
        <v>55.629934420000005</v>
      </c>
      <c r="J82" s="83">
        <f t="shared" si="47"/>
        <v>2.6408333333333336</v>
      </c>
      <c r="K82" s="83">
        <f t="shared" si="47"/>
        <v>0.84758153999999997</v>
      </c>
      <c r="L82" s="83">
        <f t="shared" si="47"/>
        <v>5.9466666666666672</v>
      </c>
      <c r="M82" s="83">
        <f t="shared" si="47"/>
        <v>53.974645349999996</v>
      </c>
      <c r="N82" s="83">
        <f t="shared" si="47"/>
        <v>2.6425000000000001</v>
      </c>
      <c r="O82" s="83">
        <f t="shared" si="47"/>
        <v>0.80770752999999995</v>
      </c>
      <c r="P82" s="83">
        <f t="shared" si="47"/>
        <v>2.6433333333333335</v>
      </c>
      <c r="Q82" s="83">
        <f t="shared" si="47"/>
        <v>0</v>
      </c>
      <c r="R82" s="83" t="str">
        <f t="shared" si="47"/>
        <v>нд</v>
      </c>
      <c r="S82" s="83">
        <f t="shared" si="47"/>
        <v>42.723037328870063</v>
      </c>
      <c r="T82" s="83">
        <f t="shared" si="47"/>
        <v>1.0491008299999987</v>
      </c>
      <c r="U82" s="84">
        <f t="shared" si="47"/>
        <v>9.3419486197684645</v>
      </c>
      <c r="V82" s="85" t="str">
        <f t="shared" si="47"/>
        <v>нд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82:C82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ignoredErrors>
    <ignoredError sqref="K80" unlockedFormula="1"/>
  </ignoredError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 Освоение</vt:lpstr>
      <vt:lpstr>'12кв Освоение'!Область_печати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2018-06-19T11:44:26Z</cp:lastPrinted>
  <dcterms:created xsi:type="dcterms:W3CDTF">2009-07-27T10:10:26Z</dcterms:created>
  <dcterms:modified xsi:type="dcterms:W3CDTF">2019-10-18T01:10:33Z</dcterms:modified>
</cp:coreProperties>
</file>