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285"/>
  </bookViews>
  <sheets>
    <sheet name="Лист1" sheetId="1" r:id="rId1"/>
  </sheets>
  <externalReferences>
    <externalReference r:id="rId2"/>
  </externalReferences>
  <definedNames>
    <definedName name="_xlnm.Print_Titles" localSheetId="0">Лист1!$7:$9</definedName>
    <definedName name="_xlnm.Print_Area" localSheetId="0">Лист1!$A$1:$AB$39</definedName>
  </definedNames>
  <calcPr calcId="145621"/>
</workbook>
</file>

<file path=xl/calcChain.xml><?xml version="1.0" encoding="utf-8"?>
<calcChain xmlns="http://schemas.openxmlformats.org/spreadsheetml/2006/main">
  <c r="V24" i="1" l="1"/>
  <c r="T24" i="1"/>
  <c r="X12" i="1" l="1"/>
  <c r="X11" i="1"/>
  <c r="P23" i="1"/>
  <c r="P36" i="1"/>
  <c r="P35" i="1"/>
  <c r="P32" i="1"/>
  <c r="P31" i="1"/>
  <c r="T36" i="1" l="1"/>
  <c r="T35" i="1"/>
  <c r="T32" i="1"/>
  <c r="T31" i="1"/>
  <c r="X37" i="1" l="1"/>
  <c r="X36" i="1"/>
  <c r="X35" i="1"/>
  <c r="X34" i="1"/>
  <c r="X33" i="1"/>
  <c r="X32" i="1"/>
  <c r="X31" i="1"/>
  <c r="X30" i="1"/>
  <c r="X29" i="1"/>
  <c r="X25" i="1"/>
  <c r="X24" i="1"/>
  <c r="X23" i="1"/>
  <c r="X22" i="1"/>
  <c r="X21" i="1"/>
  <c r="X20" i="1"/>
  <c r="X15" i="1"/>
  <c r="X14" i="1"/>
  <c r="U24" i="1" l="1"/>
  <c r="S24" i="1"/>
  <c r="S36" i="1" l="1"/>
  <c r="S35" i="1"/>
  <c r="S32" i="1"/>
  <c r="S31" i="1"/>
  <c r="S29" i="1" l="1"/>
  <c r="N31" i="1" l="1"/>
  <c r="N36" i="1" l="1"/>
  <c r="N35" i="1"/>
  <c r="N34" i="1"/>
  <c r="N33" i="1"/>
  <c r="N32" i="1"/>
  <c r="S34" i="1" l="1"/>
  <c r="S33" i="1"/>
  <c r="N19" i="1" l="1"/>
  <c r="N24" i="1" l="1"/>
  <c r="U29" i="1" l="1"/>
  <c r="S25" i="1"/>
  <c r="H36" i="1"/>
  <c r="H32" i="1" l="1"/>
  <c r="H31" i="1" l="1"/>
  <c r="L23" i="1" l="1"/>
  <c r="L33" i="1"/>
  <c r="L36" i="1" l="1"/>
  <c r="L35" i="1"/>
  <c r="L34" i="1"/>
  <c r="L32" i="1"/>
  <c r="L37" i="1"/>
  <c r="L31" i="1"/>
  <c r="T28" i="1" l="1"/>
  <c r="U37" i="1"/>
  <c r="S37" i="1"/>
  <c r="W37" i="1"/>
  <c r="V28" i="1"/>
  <c r="U28" i="1"/>
  <c r="S28" i="1"/>
  <c r="R28" i="1"/>
  <c r="Q28" i="1"/>
  <c r="P28" i="1"/>
  <c r="O28" i="1"/>
  <c r="N28" i="1"/>
  <c r="M28" i="1"/>
  <c r="L28" i="1"/>
  <c r="K28" i="1"/>
  <c r="I28" i="1"/>
  <c r="H28" i="1"/>
  <c r="J37" i="1"/>
  <c r="I37" i="1"/>
  <c r="X13" i="1" l="1"/>
  <c r="X28" i="1"/>
  <c r="W21" i="1"/>
  <c r="J21" i="1"/>
  <c r="I21" i="1"/>
  <c r="Y21" i="1" s="1"/>
  <c r="X19" i="1" l="1"/>
  <c r="V19" i="1"/>
  <c r="T19" i="1"/>
  <c r="R19" i="1"/>
  <c r="Q19" i="1"/>
  <c r="P19" i="1"/>
  <c r="O19" i="1"/>
  <c r="M19" i="1"/>
  <c r="L19" i="1"/>
  <c r="K19" i="1"/>
  <c r="H19" i="1"/>
  <c r="J25" i="1"/>
  <c r="W25" i="1" s="1"/>
  <c r="I25" i="1"/>
  <c r="J33" i="1" l="1"/>
  <c r="W33" i="1" s="1"/>
  <c r="I36" i="1"/>
  <c r="I35" i="1"/>
  <c r="I34" i="1"/>
  <c r="I33" i="1"/>
  <c r="J35" i="1" l="1"/>
  <c r="W35" i="1" s="1"/>
  <c r="J34" i="1"/>
  <c r="W34" i="1" s="1"/>
  <c r="J36" i="1"/>
  <c r="W36" i="1" s="1"/>
  <c r="U19" i="1"/>
  <c r="S19" i="1"/>
  <c r="V26" i="1" l="1"/>
  <c r="U26" i="1"/>
  <c r="R26" i="1"/>
  <c r="Q26" i="1"/>
  <c r="N26" i="1"/>
  <c r="M26" i="1"/>
  <c r="J32" i="1"/>
  <c r="W32" i="1" s="1"/>
  <c r="J31" i="1"/>
  <c r="J30" i="1"/>
  <c r="W30" i="1" s="1"/>
  <c r="J29" i="1"/>
  <c r="I32" i="1"/>
  <c r="I31" i="1"/>
  <c r="I30" i="1"/>
  <c r="I29" i="1"/>
  <c r="T26" i="1"/>
  <c r="S26" i="1"/>
  <c r="P26" i="1"/>
  <c r="O26" i="1"/>
  <c r="L26" i="1"/>
  <c r="K26" i="1"/>
  <c r="H26" i="1"/>
  <c r="J24" i="1"/>
  <c r="W24" i="1" s="1"/>
  <c r="J23" i="1"/>
  <c r="W23" i="1" s="1"/>
  <c r="J22" i="1"/>
  <c r="W22" i="1" s="1"/>
  <c r="J20" i="1"/>
  <c r="I24" i="1"/>
  <c r="I23" i="1"/>
  <c r="I22" i="1"/>
  <c r="I20" i="1"/>
  <c r="Y20" i="1" s="1"/>
  <c r="J15" i="1"/>
  <c r="W15" i="1" s="1"/>
  <c r="J14" i="1"/>
  <c r="W14" i="1" s="1"/>
  <c r="I15" i="1"/>
  <c r="I14" i="1"/>
  <c r="V13" i="1"/>
  <c r="U13" i="1"/>
  <c r="T13" i="1"/>
  <c r="S13" i="1"/>
  <c r="R13" i="1"/>
  <c r="Q13" i="1"/>
  <c r="P13" i="1"/>
  <c r="O13" i="1"/>
  <c r="N13" i="1"/>
  <c r="M13" i="1"/>
  <c r="L13" i="1"/>
  <c r="K13" i="1"/>
  <c r="H13" i="1"/>
  <c r="W31" i="1" l="1"/>
  <c r="J28" i="1"/>
  <c r="J26" i="1" s="1"/>
  <c r="J19" i="1"/>
  <c r="I19" i="1"/>
  <c r="Y14" i="1"/>
  <c r="M12" i="1"/>
  <c r="M11" i="1" s="1"/>
  <c r="Q12" i="1"/>
  <c r="Q11" i="1" s="1"/>
  <c r="N12" i="1"/>
  <c r="N11" i="1" s="1"/>
  <c r="R12" i="1"/>
  <c r="R11" i="1" s="1"/>
  <c r="Y15" i="1"/>
  <c r="L12" i="1"/>
  <c r="K12" i="1"/>
  <c r="K11" i="1" s="1"/>
  <c r="O12" i="1"/>
  <c r="O11" i="1" s="1"/>
  <c r="S12" i="1"/>
  <c r="S11" i="1" s="1"/>
  <c r="W13" i="1"/>
  <c r="I13" i="1"/>
  <c r="H12" i="1"/>
  <c r="H11" i="1" s="1"/>
  <c r="X26" i="1"/>
  <c r="W29" i="1"/>
  <c r="P12" i="1"/>
  <c r="V12" i="1"/>
  <c r="V11" i="1" s="1"/>
  <c r="U12" i="1"/>
  <c r="U11" i="1" s="1"/>
  <c r="T12" i="1"/>
  <c r="T11" i="1" s="1"/>
  <c r="J13" i="1"/>
  <c r="I26" i="1"/>
  <c r="W20" i="1"/>
  <c r="W28" i="1" l="1"/>
  <c r="W26" i="1" s="1"/>
  <c r="L11" i="1"/>
  <c r="W19" i="1"/>
  <c r="W12" i="1" s="1"/>
  <c r="Y19" i="1"/>
  <c r="Y13" i="1"/>
  <c r="I12" i="1"/>
  <c r="I11" i="1" s="1"/>
  <c r="P11" i="1"/>
  <c r="J12" i="1"/>
  <c r="J11" i="1" s="1"/>
  <c r="W11" i="1" l="1"/>
  <c r="Y12" i="1"/>
  <c r="Y11" i="1"/>
</calcChain>
</file>

<file path=xl/comments1.xml><?xml version="1.0" encoding="utf-8"?>
<comments xmlns="http://schemas.openxmlformats.org/spreadsheetml/2006/main">
  <authors>
    <author>Гаврилова Анастасия</author>
  </authors>
  <commentList>
    <comment ref="H31" authorId="0">
      <text>
        <r>
          <rPr>
            <b/>
            <sz val="12"/>
            <color indexed="81"/>
            <rFont val="Tahoma"/>
            <family val="2"/>
            <charset val="204"/>
          </rPr>
          <t>Гаврилова Анастасия:</t>
        </r>
        <r>
          <rPr>
            <sz val="12"/>
            <color indexed="81"/>
            <rFont val="Tahoma"/>
            <family val="2"/>
            <charset val="204"/>
          </rPr>
          <t xml:space="preserve">
оплата аванса (2090125.04)</t>
        </r>
      </text>
    </comment>
    <comment ref="H32" authorId="0">
      <text>
        <r>
          <rPr>
            <b/>
            <sz val="12"/>
            <color indexed="81"/>
            <rFont val="Tahoma"/>
            <family val="2"/>
            <charset val="204"/>
          </rPr>
          <t>Гаврилова Анастасия:</t>
        </r>
        <r>
          <rPr>
            <sz val="12"/>
            <color indexed="81"/>
            <rFont val="Tahoma"/>
            <family val="2"/>
            <charset val="204"/>
          </rPr>
          <t xml:space="preserve">
оплата аванса (448303.76)</t>
        </r>
      </text>
    </comment>
    <comment ref="H33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договор от 18.12.2018 № 225-ДЛВ-2018</t>
        </r>
      </text>
    </comment>
    <comment ref="H34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договор от 19.11.2018 № КС/9</t>
        </r>
      </text>
    </comment>
    <comment ref="H35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договор от 01.10.2018 № КС/6</t>
        </r>
      </text>
    </comment>
    <comment ref="H36" authorId="0">
      <text>
        <r>
          <rPr>
            <b/>
            <sz val="8"/>
            <color indexed="81"/>
            <rFont val="Tahoma"/>
            <family val="2"/>
            <charset val="204"/>
          </rPr>
          <t>Гаврилова Анастасия:</t>
        </r>
        <r>
          <rPr>
            <sz val="8"/>
            <color indexed="81"/>
            <rFont val="Tahoma"/>
            <family val="2"/>
            <charset val="204"/>
          </rPr>
          <t xml:space="preserve">
договор от 06.11.2018 № КС/8. 690 т. р. - аванс оплаченный</t>
        </r>
      </text>
    </comment>
  </commentList>
</comments>
</file>

<file path=xl/sharedStrings.xml><?xml version="1.0" encoding="utf-8"?>
<sst xmlns="http://schemas.openxmlformats.org/spreadsheetml/2006/main" count="152" uniqueCount="138">
  <si>
    <t>Макет  51915  Приложение 7.1   Отчет об исполнении ИП за квартал</t>
  </si>
  <si>
    <t>Энергообъединение   868103</t>
  </si>
  <si>
    <t>Филиал "Дальневосточный" Оборонэнерго</t>
  </si>
  <si>
    <t>№№</t>
  </si>
  <si>
    <t>Код строки</t>
  </si>
  <si>
    <t>Наименование объекта</t>
  </si>
  <si>
    <t xml:space="preserve">Остаток стоимости на начало года * </t>
  </si>
  <si>
    <t>Объем финансирования
 (отчетный год)</t>
  </si>
  <si>
    <t>Освоено 
(закрыто актами 
выполненных работ)
млн.руб.</t>
  </si>
  <si>
    <t>Введено оформлено актами ввода в эксплуатацию)
млн.руб.</t>
  </si>
  <si>
    <t>Осталось профинансировать по результатам отчетного периода *</t>
  </si>
  <si>
    <t>Отклонение ***</t>
  </si>
  <si>
    <t>Причины отклонений</t>
  </si>
  <si>
    <t>всего</t>
  </si>
  <si>
    <t>1 кв</t>
  </si>
  <si>
    <t>2 кв</t>
  </si>
  <si>
    <t>3 кв</t>
  </si>
  <si>
    <t>4 кв</t>
  </si>
  <si>
    <t>млн.руб.</t>
  </si>
  <si>
    <t>%</t>
  </si>
  <si>
    <t>в том числе за счет</t>
  </si>
  <si>
    <t>план**</t>
  </si>
  <si>
    <t>факт***</t>
  </si>
  <si>
    <t>план</t>
  </si>
  <si>
    <t>факт</t>
  </si>
  <si>
    <t>за отчетный 
квартал</t>
  </si>
  <si>
    <t>за отчетный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</si>
  <si>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</si>
  <si>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</si>
  <si>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Гр 1</t>
  </si>
  <si>
    <t>Гр 2</t>
  </si>
  <si>
    <t>Гр 3</t>
  </si>
  <si>
    <t>Гр 4</t>
  </si>
  <si>
    <t>Гр 5</t>
  </si>
  <si>
    <t>Гр 6</t>
  </si>
  <si>
    <t>Гр 7</t>
  </si>
  <si>
    <t>Гр 8</t>
  </si>
  <si>
    <t>Гр 9</t>
  </si>
  <si>
    <t>Гр 10</t>
  </si>
  <si>
    <t>Гр 11</t>
  </si>
  <si>
    <t>Гр 12</t>
  </si>
  <si>
    <t>Гр 13</t>
  </si>
  <si>
    <t>Гр 14</t>
  </si>
  <si>
    <t>Гр 15</t>
  </si>
  <si>
    <t>Гр 16</t>
  </si>
  <si>
    <t>Гр 17</t>
  </si>
  <si>
    <t>Гр 18</t>
  </si>
  <si>
    <t>Гр 19</t>
  </si>
  <si>
    <t>Гр 20</t>
  </si>
  <si>
    <t>Гр 21</t>
  </si>
  <si>
    <t>ВСЕГО</t>
  </si>
  <si>
    <t>1.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</si>
  <si>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</si>
  <si>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</si>
  <si>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</si>
  <si>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1.1.6</t>
  </si>
  <si>
    <t>Установка и замена приборов учета на границах раздела со смежными сетевыми организациями (ССО)</t>
  </si>
  <si>
    <t>1.1.7</t>
  </si>
  <si>
    <t>Установка автоматической информационно-измерительной системы коммерческого учета электроэнергии (АИИС КУЭ)</t>
  </si>
  <si>
    <t>1.2.</t>
  </si>
  <si>
    <t>Создание систем противоаварийной и режимной автоматики</t>
  </si>
  <si>
    <t>1.3.</t>
  </si>
  <si>
    <t xml:space="preserve">Создание систем телемеханики  и связи </t>
  </si>
  <si>
    <t>1.4.</t>
  </si>
  <si>
    <t>Установка устройств регулирования напряжения и компенсации реактивной мощности</t>
  </si>
  <si>
    <t>1.5.</t>
  </si>
  <si>
    <t>Прочие направления</t>
  </si>
  <si>
    <t>1.5.1</t>
  </si>
  <si>
    <t>КЛЭП-10 кВ ТП-274-ТП-276, инв. №00000606, Хабаровский край, Советско-Гаванский р-н, п.Заветы Ильича, бухта Северная, п-ов Меньшиково (замена КЛ-10кВ СБЛУ 10 3*95 - 2281 м., необходим кабель для прокладке в соленной (морской) воде)</t>
  </si>
  <si>
    <t>1.5.2</t>
  </si>
  <si>
    <t>1.5.3</t>
  </si>
  <si>
    <t>1.5.4</t>
  </si>
  <si>
    <t>1.5.5</t>
  </si>
  <si>
    <t>Приобретение имущества производственного назначения по Хабаровскому краю</t>
  </si>
  <si>
    <t>1.5.6</t>
  </si>
  <si>
    <t>2.</t>
  </si>
  <si>
    <t>Новое строительство</t>
  </si>
  <si>
    <t>2.1.</t>
  </si>
  <si>
    <t>2.2.</t>
  </si>
  <si>
    <t>Прочее новое строительство</t>
  </si>
  <si>
    <t>2.2.1</t>
  </si>
  <si>
    <t>ЦОД и СЦ, г. Хабаровск, Серышева, 13</t>
  </si>
  <si>
    <t>2.2.2</t>
  </si>
  <si>
    <t>2.2.3</t>
  </si>
  <si>
    <t>Строительство здания на территории военного городка № 6 в п. Князе - Волконское, Хабаровского края.</t>
  </si>
  <si>
    <t>2.2.5</t>
  </si>
  <si>
    <t>Справочно</t>
  </si>
  <si>
    <t>3.0.</t>
  </si>
  <si>
    <t>Оплата процентов за привлеченные кредитные ресурсы</t>
  </si>
  <si>
    <t>Наименование</t>
  </si>
  <si>
    <t>ФИО</t>
  </si>
  <si>
    <t>Должность</t>
  </si>
  <si>
    <t>Контактный телефон</t>
  </si>
  <si>
    <t>Электронный адрес</t>
  </si>
  <si>
    <t>Руководитель</t>
  </si>
  <si>
    <t>Ответственный за заполнение макета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</si>
  <si>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</si>
  <si>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</si>
  <si>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</si>
  <si>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в графе "Наименование объекта" для сетевых объектов с разделением объектов на ПС, ВЛ и КЛ</t>
  </si>
  <si>
    <t>ВЛЭП-10 кВ к ВЛЭП 0.4 кВ по адресу: Хабаровский край, Бикинский р-н, район им. Лазо (льготники)</t>
  </si>
  <si>
    <t>Строительство ЛЭП6-10 кВ до 2КТПн-250/10/0,4кВ, 2 КТП-63/10/0,4 кВ, 2 КТП 63/10/0,4 кВ по адресу: Хаб.край, г. Хабаровск-47, в/ч 25025</t>
  </si>
  <si>
    <t>Трансформаторная подстанция инв. № 864002401 по адресу: Хабаровский край, Хабаровский район, 31 км трассы Хабаровск-Комсомольск-на-Амуре, в/г  №23, литера Б61 (ТП-6)</t>
  </si>
  <si>
    <t>Трансформаторная подстанция инв. № 864002361,  Хабаровский край, Хабаровский р-н,с.Гаровка-2,лит.Б1,в/г 14, 1260м на северо-восток от ориентира ул. Центральная 36, с. Ракитное (ТП-40) (замена на БКТП с ТМГ 400кВА 6/0.4, ТМГ 400кВА 10/0.4)</t>
  </si>
  <si>
    <t>Коростылев Апександр Николаевич</t>
  </si>
  <si>
    <t>начальник УТПиКС</t>
  </si>
  <si>
    <t>(4212) 46 33 19 доб. 111</t>
  </si>
  <si>
    <t>akorostylev@dv.oen.su</t>
  </si>
  <si>
    <t>Маталыга Наталья Сергеевна</t>
  </si>
  <si>
    <t>ведущий инженер КТПиКС</t>
  </si>
  <si>
    <t>(4212) 46 33 19 доб. 134</t>
  </si>
  <si>
    <t>nmatalyga@dv.oen.su</t>
  </si>
  <si>
    <t>Отсутствие претендентов по закупке (31806956755) на выполнение инженерных изысканий и проектных работ (ПИР) по реконструкции объекта. Выполнение строительно-монтажных работ возможно после выполнения ПИР.</t>
  </si>
  <si>
    <t>Выполнение работ планировалось в 2015 году, но несвоевременное  исполнение обязательств подрядной организации привело к затягиванию сроков. В настоящее время ведется судебное разбирательство.</t>
  </si>
  <si>
    <t>Договоры на технологическое присоединение заключаются внепланово, по факту поданных заявок, а исполнение обязательств сетевой организацией перед заявителем ограничено сроком 4-6 месяцев. В связи с этим работы не могут быть запланированы преждевременно.</t>
  </si>
  <si>
    <t>2.2.6</t>
  </si>
  <si>
    <t>2.2.7</t>
  </si>
  <si>
    <t>2.2.8</t>
  </si>
  <si>
    <t>2.2.9</t>
  </si>
  <si>
    <t>2 КЛЭП6 кВ (аэродром "Дземги"Комсомольск)</t>
  </si>
  <si>
    <t>2 КЛЭП6 кВ (аэродром "Хабаровск" (Большой)</t>
  </si>
  <si>
    <t xml:space="preserve">ВЛЭП-10кВ и ВЛЭП-0,4кВ (в т.ч. столбовая ТП) для тех.присоединения объектов физ.лиц по адресу Хаб.край, с.Галкино, р-н им. Лазо, (р/п Переясловка-2), </t>
  </si>
  <si>
    <t>ВЛЭП-6кВ (Хабаровск)</t>
  </si>
  <si>
    <t>выполнение обязательств перед заявителем</t>
  </si>
  <si>
    <t>Приобретение МКМ (1 шт)</t>
  </si>
  <si>
    <t>ЛЭП-10 кВ МГРЭС - ТП-60, инв.№ 00001826, п. Майский, район ул. Синопская-Портовая-501 склад - Константиновское шоссе (Замена АС-50 на СИП - 1543 м., замена кабельного вывода ААБ-10 3*50 - 610 м.)</t>
  </si>
  <si>
    <t>Ведется согласование закупочной процедуры на поставку материалов для выполнения работ</t>
  </si>
  <si>
    <t>Ведется мониторинг и поиск компаний, способных оказать  услуги по проектированию системы  автоматизированного учета электроэнергии: пред проектное обследование объектов, подготовку проектной и сметной документации, выполнения  функции генерального проектировщика проекта  АСКУЭ</t>
  </si>
  <si>
    <t>Работы по выполнению реконструкции объекта поданы в корректировку инвестиционной программы на 2018 год. В рассморении корректировки инвестиционной программы на 2018 год  отказано (уведомление Комитета по развитию ТЭК Правительства Хабаровского края от 24.04.2018 №12.3.47-10227). работы по данному объекту включены в корректировку ИП на 2019 год.</t>
  </si>
  <si>
    <t>Укомплектование парка автомобильной техники. Работа включена в корректировку ИП на 2019 год.</t>
  </si>
  <si>
    <t>2.2.10</t>
  </si>
  <si>
    <t>Строительство: Воздушная линия 0,4 о КТПН-УНР 1264 РУ-0,4 кВ ф.1 до ВРУ-0,4 кВ здания канализационной насосной по адресу: Хабаровский край, ул. Шкотова</t>
  </si>
  <si>
    <t>Выполнение обязательств перед заявителем. Объем финансирования определялся стоимостью работ по подготовке ПИР по договору с подрядной организацией. Работы по ПИР выполнены подрядной организацией в 2018 году, СМР поизводились хоз. способом.</t>
  </si>
  <si>
    <t>Выполнение работ планировалось в 2014 году, но несвоевременное  исполнение обязательств подрядной организации привело к затягиванию сроков. В настоящее время договор подряда расторгнут, доходный договор (Договор ТП) находится на стадии подписания дополнительного соглашения.</t>
  </si>
  <si>
    <t xml:space="preserve">Выполнение обязательств перед заявителем. Работа подрядной организации оплачена в полном объеме. </t>
  </si>
  <si>
    <t>Выполнены работы по ПИР. Строительно-монтажные  работы по данному объекту включены в корректировку ИП на 2019 год.</t>
  </si>
  <si>
    <t>Период отчетности   09/2019</t>
  </si>
  <si>
    <t>произведена оплата за приобретенные в 1-ом квартале 2019 г. бензокусторез и перфораторы по договору централизованной поставки от 22.09.2017 № 57-2017; произведена оплата  и ввод в эксплуатацию трансформатора ТМГ-СЭЩ-250/10-11 УХЛ1 10/0,4 Y/Y, закупленного для устранения аварийной ситуации; закуплены и установлены в ТП панели ЩО - 7 шт.; для устранения аварии на ТП закуплен ТМ ТМГ-100 кВа 10/0,4 Y/Y-01 - 1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</si>
</sst>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0.000"/>
    <numFmt numFmtId="166" formatCode="0.0"/>
    <numFmt numFmtId="167" formatCode="#,##0.000"/>
    <numFmt numFmtId="168" formatCode="0.00000"/>
  </numFmts>
  <fonts count="3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color indexed="41"/>
      <name val="Times New Roman"/>
      <family val="1"/>
      <charset val="204"/>
    </font>
    <font>
      <b/>
      <sz val="10"/>
      <name val="Arial Cyr"/>
      <charset val="204"/>
    </font>
    <font>
      <b/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i/>
      <sz val="12"/>
      <color indexed="43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color indexed="2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2" borderId="0" xfId="0" applyFont="1" applyFill="1"/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/>
    <xf numFmtId="49" fontId="6" fillId="0" borderId="0" xfId="0" applyNumberFormat="1" applyFont="1" applyAlignment="1" applyProtection="1">
      <alignment horizontal="left"/>
    </xf>
    <xf numFmtId="49" fontId="7" fillId="0" borderId="0" xfId="0" applyNumberFormat="1" applyFont="1" applyAlignment="1" applyProtection="1">
      <alignment horizontal="left"/>
    </xf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9" fillId="0" borderId="0" xfId="0" applyFont="1" applyAlignment="1"/>
    <xf numFmtId="0" fontId="1" fillId="2" borderId="0" xfId="0" applyFont="1" applyFill="1"/>
    <xf numFmtId="0" fontId="10" fillId="3" borderId="9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10" fillId="5" borderId="1" xfId="0" applyFont="1" applyFill="1" applyBorder="1" applyAlignment="1">
      <alignment horizontal="center" vertical="center" wrapText="1"/>
    </xf>
    <xf numFmtId="1" fontId="13" fillId="5" borderId="18" xfId="0" applyNumberFormat="1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left" vertical="center" wrapText="1"/>
    </xf>
    <xf numFmtId="165" fontId="10" fillId="5" borderId="3" xfId="0" applyNumberFormat="1" applyFont="1" applyFill="1" applyBorder="1" applyAlignment="1">
      <alignment horizontal="center" vertical="center" wrapText="1"/>
    </xf>
    <xf numFmtId="165" fontId="10" fillId="5" borderId="3" xfId="0" applyNumberFormat="1" applyFont="1" applyFill="1" applyBorder="1" applyAlignment="1" applyProtection="1">
      <alignment horizontal="center" vertical="center" wrapText="1"/>
    </xf>
    <xf numFmtId="166" fontId="10" fillId="5" borderId="3" xfId="0" applyNumberFormat="1" applyFont="1" applyFill="1" applyBorder="1" applyAlignment="1" applyProtection="1">
      <alignment horizontal="center" vertical="center" wrapText="1"/>
    </xf>
    <xf numFmtId="49" fontId="14" fillId="5" borderId="6" xfId="0" applyNumberFormat="1" applyFont="1" applyFill="1" applyBorder="1" applyAlignment="1" applyProtection="1">
      <alignment vertical="center" wrapText="1"/>
    </xf>
    <xf numFmtId="0" fontId="15" fillId="2" borderId="0" xfId="0" applyFont="1" applyFill="1"/>
    <xf numFmtId="49" fontId="16" fillId="5" borderId="7" xfId="0" applyNumberFormat="1" applyFont="1" applyFill="1" applyBorder="1" applyAlignment="1">
      <alignment horizontal="center" vertical="center" wrapText="1"/>
    </xf>
    <xf numFmtId="1" fontId="17" fillId="5" borderId="19" xfId="0" applyNumberFormat="1" applyFont="1" applyFill="1" applyBorder="1" applyAlignment="1">
      <alignment horizontal="center" vertical="center" wrapText="1"/>
    </xf>
    <xf numFmtId="49" fontId="8" fillId="5" borderId="9" xfId="0" applyNumberFormat="1" applyFont="1" applyFill="1" applyBorder="1" applyAlignment="1">
      <alignment horizontal="left" vertical="center" wrapText="1"/>
    </xf>
    <xf numFmtId="165" fontId="10" fillId="5" borderId="9" xfId="0" applyNumberFormat="1" applyFont="1" applyFill="1" applyBorder="1" applyAlignment="1">
      <alignment horizontal="center" vertical="center" wrapText="1"/>
    </xf>
    <xf numFmtId="165" fontId="10" fillId="5" borderId="9" xfId="0" applyNumberFormat="1" applyFont="1" applyFill="1" applyBorder="1" applyAlignment="1" applyProtection="1">
      <alignment horizontal="center" vertical="center" wrapText="1"/>
    </xf>
    <xf numFmtId="166" fontId="10" fillId="5" borderId="9" xfId="0" applyNumberFormat="1" applyFont="1" applyFill="1" applyBorder="1" applyAlignment="1" applyProtection="1">
      <alignment horizontal="center" vertical="center" wrapText="1"/>
    </xf>
    <xf numFmtId="49" fontId="14" fillId="5" borderId="12" xfId="0" applyNumberFormat="1" applyFont="1" applyFill="1" applyBorder="1" applyAlignment="1" applyProtection="1">
      <alignment vertical="center" wrapText="1"/>
    </xf>
    <xf numFmtId="49" fontId="10" fillId="5" borderId="7" xfId="0" applyNumberFormat="1" applyFont="1" applyFill="1" applyBorder="1" applyAlignment="1">
      <alignment horizontal="center" vertical="center" wrapText="1"/>
    </xf>
    <xf numFmtId="1" fontId="11" fillId="5" borderId="19" xfId="0" applyNumberFormat="1" applyFont="1" applyFill="1" applyBorder="1" applyAlignment="1">
      <alignment horizontal="center" vertical="center" wrapText="1"/>
    </xf>
    <xf numFmtId="49" fontId="18" fillId="5" borderId="9" xfId="0" applyNumberFormat="1" applyFont="1" applyFill="1" applyBorder="1" applyAlignment="1">
      <alignment horizontal="left" vertical="center" wrapText="1"/>
    </xf>
    <xf numFmtId="0" fontId="19" fillId="2" borderId="0" xfId="0" applyFont="1" applyFill="1"/>
    <xf numFmtId="49" fontId="19" fillId="5" borderId="7" xfId="0" applyNumberFormat="1" applyFont="1" applyFill="1" applyBorder="1" applyAlignment="1">
      <alignment horizontal="center" vertical="center" wrapText="1"/>
    </xf>
    <xf numFmtId="1" fontId="19" fillId="5" borderId="19" xfId="0" applyNumberFormat="1" applyFont="1" applyFill="1" applyBorder="1" applyAlignment="1">
      <alignment horizontal="center" vertical="center" wrapText="1"/>
    </xf>
    <xf numFmtId="49" fontId="19" fillId="5" borderId="9" xfId="0" applyNumberFormat="1" applyFont="1" applyFill="1" applyBorder="1" applyAlignment="1" applyProtection="1">
      <alignment horizontal="left" vertical="center" wrapText="1"/>
    </xf>
    <xf numFmtId="165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165" fontId="19" fillId="5" borderId="9" xfId="0" applyNumberFormat="1" applyFont="1" applyFill="1" applyBorder="1" applyAlignment="1" applyProtection="1">
      <alignment horizontal="center" vertical="center" wrapText="1"/>
    </xf>
    <xf numFmtId="166" fontId="19" fillId="5" borderId="9" xfId="0" applyNumberFormat="1" applyFont="1" applyFill="1" applyBorder="1" applyAlignment="1" applyProtection="1">
      <alignment horizontal="center" vertical="center" wrapText="1"/>
    </xf>
    <xf numFmtId="0" fontId="20" fillId="2" borderId="0" xfId="0" applyFont="1" applyFill="1"/>
    <xf numFmtId="1" fontId="11" fillId="5" borderId="9" xfId="0" applyNumberFormat="1" applyFont="1" applyFill="1" applyBorder="1" applyAlignment="1">
      <alignment horizontal="center" vertical="center" wrapText="1"/>
    </xf>
    <xf numFmtId="49" fontId="10" fillId="3" borderId="7" xfId="0" applyNumberFormat="1" applyFont="1" applyFill="1" applyBorder="1"/>
    <xf numFmtId="49" fontId="21" fillId="3" borderId="9" xfId="0" applyNumberFormat="1" applyFont="1" applyFill="1" applyBorder="1" applyAlignment="1">
      <alignment horizontal="center" vertical="center" wrapText="1"/>
    </xf>
    <xf numFmtId="49" fontId="22" fillId="3" borderId="9" xfId="0" applyNumberFormat="1" applyFont="1" applyFill="1" applyBorder="1" applyAlignment="1">
      <alignment horizontal="left" vertical="center" wrapText="1"/>
    </xf>
    <xf numFmtId="49" fontId="10" fillId="3" borderId="9" xfId="0" applyNumberFormat="1" applyFont="1" applyFill="1" applyBorder="1" applyAlignment="1">
      <alignment horizontal="center" vertical="center" wrapText="1"/>
    </xf>
    <xf numFmtId="49" fontId="10" fillId="3" borderId="12" xfId="0" applyNumberFormat="1" applyFont="1" applyFill="1" applyBorder="1" applyAlignment="1" applyProtection="1">
      <alignment horizontal="left" vertical="center" wrapText="1"/>
    </xf>
    <xf numFmtId="49" fontId="13" fillId="5" borderId="14" xfId="0" applyNumberFormat="1" applyFont="1" applyFill="1" applyBorder="1" applyAlignment="1">
      <alignment horizontal="center" vertical="center" wrapText="1"/>
    </xf>
    <xf numFmtId="1" fontId="11" fillId="5" borderId="16" xfId="0" applyNumberFormat="1" applyFont="1" applyFill="1" applyBorder="1" applyAlignment="1">
      <alignment horizontal="center" vertical="center" wrapText="1"/>
    </xf>
    <xf numFmtId="49" fontId="18" fillId="5" borderId="16" xfId="0" applyNumberFormat="1" applyFont="1" applyFill="1" applyBorder="1" applyAlignment="1">
      <alignment horizontal="left" vertical="center" wrapText="1"/>
    </xf>
    <xf numFmtId="165" fontId="10" fillId="5" borderId="16" xfId="0" applyNumberFormat="1" applyFont="1" applyFill="1" applyBorder="1" applyAlignment="1">
      <alignment horizontal="center" vertical="center" wrapText="1"/>
    </xf>
    <xf numFmtId="165" fontId="10" fillId="5" borderId="16" xfId="0" applyNumberFormat="1" applyFont="1" applyFill="1" applyBorder="1" applyAlignment="1" applyProtection="1">
      <alignment horizontal="center" vertical="center" wrapText="1"/>
    </xf>
    <xf numFmtId="166" fontId="10" fillId="5" borderId="16" xfId="0" applyNumberFormat="1" applyFont="1" applyFill="1" applyBorder="1" applyAlignment="1" applyProtection="1">
      <alignment horizontal="center" vertical="center" wrapText="1"/>
    </xf>
    <xf numFmtId="49" fontId="14" fillId="6" borderId="17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/>
    <xf numFmtId="0" fontId="13" fillId="2" borderId="0" xfId="0" applyNumberFormat="1" applyFont="1" applyFill="1" applyBorder="1" applyAlignment="1">
      <alignment horizontal="center" vertical="center" wrapText="1"/>
    </xf>
    <xf numFmtId="0" fontId="23" fillId="2" borderId="0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Border="1" applyAlignment="1">
      <alignment horizontal="left" vertical="center" wrapText="1"/>
    </xf>
    <xf numFmtId="0" fontId="10" fillId="2" borderId="0" xfId="0" applyNumberFormat="1" applyFont="1" applyFill="1" applyBorder="1" applyAlignment="1">
      <alignment horizontal="center" vertical="center" wrapText="1"/>
    </xf>
    <xf numFmtId="0" fontId="10" fillId="7" borderId="0" xfId="0" applyNumberFormat="1" applyFont="1" applyFill="1" applyBorder="1" applyAlignment="1">
      <alignment horizontal="center" vertical="center" wrapText="1"/>
    </xf>
    <xf numFmtId="0" fontId="1" fillId="7" borderId="0" xfId="0" applyNumberFormat="1" applyFont="1" applyFill="1" applyBorder="1" applyAlignment="1">
      <alignment horizontal="left" vertical="center" wrapText="1"/>
    </xf>
    <xf numFmtId="0" fontId="2" fillId="2" borderId="0" xfId="0" applyNumberFormat="1" applyFont="1" applyFill="1"/>
    <xf numFmtId="0" fontId="24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/>
    <xf numFmtId="49" fontId="24" fillId="5" borderId="1" xfId="0" applyNumberFormat="1" applyFont="1" applyFill="1" applyBorder="1" applyAlignment="1">
      <alignment horizontal="left" vertical="center" wrapText="1"/>
    </xf>
    <xf numFmtId="1" fontId="10" fillId="5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24" fillId="0" borderId="3" xfId="0" applyNumberFormat="1" applyFont="1" applyFill="1" applyBorder="1" applyAlignment="1" applyProtection="1">
      <alignment vertical="center" wrapText="1"/>
      <protection locked="0"/>
    </xf>
    <xf numFmtId="49" fontId="24" fillId="0" borderId="6" xfId="0" applyNumberFormat="1" applyFont="1" applyFill="1" applyBorder="1" applyAlignment="1" applyProtection="1">
      <alignment vertical="center" wrapText="1"/>
      <protection locked="0"/>
    </xf>
    <xf numFmtId="49" fontId="24" fillId="5" borderId="14" xfId="0" applyNumberFormat="1" applyFont="1" applyFill="1" applyBorder="1" applyAlignment="1">
      <alignment horizontal="left" vertical="center" wrapText="1"/>
    </xf>
    <xf numFmtId="1" fontId="10" fillId="5" borderId="16" xfId="0" applyNumberFormat="1" applyFont="1" applyFill="1" applyBorder="1" applyAlignment="1">
      <alignment horizontal="center" vertical="center" wrapText="1"/>
    </xf>
    <xf numFmtId="49" fontId="24" fillId="0" borderId="16" xfId="0" applyNumberFormat="1" applyFont="1" applyFill="1" applyBorder="1" applyAlignment="1" applyProtection="1">
      <alignment horizontal="left" vertical="center" wrapText="1"/>
      <protection locked="0"/>
    </xf>
    <xf numFmtId="49" fontId="24" fillId="0" borderId="16" xfId="0" applyNumberFormat="1" applyFont="1" applyFill="1" applyBorder="1" applyAlignment="1" applyProtection="1">
      <alignment vertical="center" wrapText="1"/>
      <protection locked="0"/>
    </xf>
    <xf numFmtId="49" fontId="24" fillId="0" borderId="17" xfId="0" applyNumberFormat="1" applyFont="1" applyFill="1" applyBorder="1" applyAlignment="1" applyProtection="1">
      <alignment vertical="center" wrapText="1"/>
      <protection locked="0"/>
    </xf>
    <xf numFmtId="49" fontId="13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49" fontId="1" fillId="0" borderId="0" xfId="0" applyNumberFormat="1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Alignment="1">
      <alignment vertical="center"/>
    </xf>
    <xf numFmtId="1" fontId="10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9" xfId="1" applyFont="1" applyFill="1" applyBorder="1" applyAlignment="1">
      <alignment horizontal="center" vertical="center" wrapText="1"/>
    </xf>
    <xf numFmtId="167" fontId="1" fillId="0" borderId="9" xfId="0" applyNumberFormat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center" wrapText="1"/>
    </xf>
    <xf numFmtId="168" fontId="10" fillId="5" borderId="9" xfId="0" applyNumberFormat="1" applyFont="1" applyFill="1" applyBorder="1" applyAlignment="1">
      <alignment horizontal="center" vertical="center" wrapText="1"/>
    </xf>
    <xf numFmtId="165" fontId="29" fillId="0" borderId="0" xfId="0" applyNumberFormat="1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2" fillId="3" borderId="12" xfId="0" applyFont="1" applyFill="1" applyBorder="1"/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%20&#1080;&#1085;&#1074;&#1077;&#1089;&#1090;/&#1054;&#1090;&#1095;&#1077;&#1090;%20&#1087;&#1086;%20&#1048;&#1055;&#1056;/4.%20&#1086;&#1090;&#1095;&#1077;&#1090;&#1099;%20&#1074;%20&#1056;&#1069;&#1050;%202019%20&#1075;&#1086;&#1076;&#1072;/_&#1054;&#1090;&#1095;&#1077;&#1090;%20&#1056;&#1069;&#1050;&#1080;_2_&#1082;&#1074;%202019/&#1061;&#1050;/2_&#1082;&#1074;&#1072;&#1088;&#1090;&#1072;&#1083;_2019_&#1061;&#1072;&#1073;&#1072;&#1088;&#1086;&#1074;&#1089;&#1082;&#1080;&#1081;_&#1082;&#1088;&#1072;&#1081;/&#1092;&#1086;&#1088;&#1084;&#1099;%20&#1087;&#1086;%20320/D&#1061;&#1061;&#1061;&#1061;_1097746264230_11_08_0%20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кв источники"/>
    </sheetNames>
    <sheetDataSet>
      <sheetData sheetId="0">
        <row r="82">
          <cell r="L82">
            <v>8.1531525400000007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49"/>
  <sheetViews>
    <sheetView showGridLines="0" tabSelected="1" view="pageBreakPreview" topLeftCell="E7" zoomScale="80" zoomScaleNormal="70" zoomScaleSheetLayoutView="80" workbookViewId="0">
      <pane xSplit="3" ySplit="4" topLeftCell="O32" activePane="bottomRight" state="frozen"/>
      <selection activeCell="E7" sqref="E7"/>
      <selection pane="topRight" activeCell="H7" sqref="H7"/>
      <selection pane="bottomLeft" activeCell="E11" sqref="E11"/>
      <selection pane="bottomRight" activeCell="T35" sqref="T35"/>
    </sheetView>
  </sheetViews>
  <sheetFormatPr defaultRowHeight="15" x14ac:dyDescent="0.25"/>
  <cols>
    <col min="1" max="4" width="0" hidden="1" customWidth="1"/>
    <col min="5" max="5" width="14.7109375" customWidth="1"/>
    <col min="6" max="6" width="13.7109375" customWidth="1"/>
    <col min="7" max="7" width="44.7109375" customWidth="1"/>
    <col min="8" max="8" width="23.7109375" customWidth="1"/>
    <col min="9" max="9" width="17.7109375" customWidth="1"/>
    <col min="10" max="10" width="18.7109375" customWidth="1"/>
    <col min="11" max="20" width="12.7109375" customWidth="1"/>
    <col min="21" max="21" width="14.7109375" customWidth="1"/>
    <col min="22" max="22" width="13.7109375" customWidth="1"/>
    <col min="23" max="23" width="21.7109375" customWidth="1"/>
    <col min="24" max="24" width="18.7109375" customWidth="1"/>
    <col min="25" max="25" width="13.7109375" customWidth="1"/>
    <col min="26" max="27" width="16.7109375" customWidth="1"/>
    <col min="28" max="28" width="54.140625" customWidth="1"/>
    <col min="29" max="29" width="0" hidden="1" customWidth="1"/>
  </cols>
  <sheetData>
    <row r="1" spans="1:29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1"/>
      <c r="Y1" s="1"/>
      <c r="Z1" s="1"/>
      <c r="AA1" s="1"/>
      <c r="AB1" s="1"/>
      <c r="AC1" s="3"/>
    </row>
    <row r="2" spans="1:29" ht="20.25" x14ac:dyDescent="0.3">
      <c r="A2" s="1"/>
      <c r="B2" s="1"/>
      <c r="C2" s="1"/>
      <c r="D2" s="1"/>
      <c r="E2" s="4" t="s">
        <v>0</v>
      </c>
      <c r="F2" s="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"/>
      <c r="U2" s="2"/>
      <c r="V2" s="2"/>
      <c r="W2" s="2"/>
      <c r="X2" s="1"/>
      <c r="Y2" s="1"/>
      <c r="Z2" s="1"/>
      <c r="AA2" s="1"/>
      <c r="AB2" s="6"/>
      <c r="AC2" s="3"/>
    </row>
    <row r="3" spans="1:29" ht="18.75" x14ac:dyDescent="0.3">
      <c r="A3" s="7"/>
      <c r="B3" s="7"/>
      <c r="C3" s="7"/>
      <c r="D3" s="7"/>
      <c r="E3" s="8" t="s">
        <v>136</v>
      </c>
      <c r="F3" s="9"/>
      <c r="G3" s="10"/>
      <c r="H3" s="11"/>
      <c r="I3" s="12"/>
      <c r="J3" s="7"/>
      <c r="K3" s="7"/>
      <c r="L3" s="7"/>
      <c r="M3" s="7"/>
      <c r="N3" s="7"/>
      <c r="O3" s="7"/>
      <c r="P3" s="7"/>
      <c r="Q3" s="7"/>
      <c r="R3" s="7"/>
      <c r="S3" s="7"/>
      <c r="T3" s="13"/>
      <c r="U3" s="13"/>
      <c r="V3" s="13"/>
      <c r="W3" s="13"/>
      <c r="X3" s="7"/>
      <c r="Y3" s="7"/>
      <c r="Z3" s="7"/>
      <c r="AA3" s="7"/>
      <c r="AB3" s="14"/>
      <c r="AC3" s="3"/>
    </row>
    <row r="4" spans="1:29" ht="18.75" x14ac:dyDescent="0.3">
      <c r="A4" s="7"/>
      <c r="B4" s="7"/>
      <c r="C4" s="7"/>
      <c r="D4" s="7"/>
      <c r="E4" s="8" t="s">
        <v>1</v>
      </c>
      <c r="F4" s="9"/>
      <c r="G4" s="12"/>
      <c r="H4" s="11" t="s">
        <v>2</v>
      </c>
      <c r="I4" s="12"/>
      <c r="J4" s="7"/>
      <c r="K4" s="7"/>
      <c r="L4" s="7"/>
      <c r="M4" s="7"/>
      <c r="N4" s="7"/>
      <c r="O4" s="7"/>
      <c r="P4" s="7"/>
      <c r="Q4" s="7"/>
      <c r="R4" s="7"/>
      <c r="S4" s="7"/>
      <c r="T4" s="13"/>
      <c r="U4" s="13"/>
      <c r="V4" s="13"/>
      <c r="W4" s="13"/>
      <c r="X4" s="7"/>
      <c r="Y4" s="7"/>
      <c r="Z4" s="7"/>
      <c r="AA4" s="7"/>
      <c r="AB4" s="14"/>
      <c r="AC4" s="3"/>
    </row>
    <row r="5" spans="1:2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2"/>
      <c r="U5" s="2"/>
      <c r="V5" s="2"/>
      <c r="W5" s="2"/>
      <c r="X5" s="1"/>
      <c r="Y5" s="1"/>
      <c r="Z5" s="1"/>
      <c r="AA5" s="1"/>
      <c r="AB5" s="6"/>
      <c r="AC5" s="3"/>
    </row>
    <row r="6" spans="1:29" ht="23.25" thickBot="1" x14ac:dyDescent="0.35">
      <c r="A6" s="1"/>
      <c r="B6" s="1"/>
      <c r="C6" s="1"/>
      <c r="D6" s="1"/>
      <c r="E6" s="1"/>
      <c r="F6" s="1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3"/>
    </row>
    <row r="7" spans="1:29" ht="15.75" x14ac:dyDescent="0.25">
      <c r="A7" s="16"/>
      <c r="B7" s="16"/>
      <c r="C7" s="16"/>
      <c r="D7" s="16"/>
      <c r="E7" s="108" t="s">
        <v>3</v>
      </c>
      <c r="F7" s="110" t="s">
        <v>4</v>
      </c>
      <c r="G7" s="113" t="s">
        <v>5</v>
      </c>
      <c r="H7" s="113" t="s">
        <v>6</v>
      </c>
      <c r="I7" s="113" t="s">
        <v>7</v>
      </c>
      <c r="J7" s="113"/>
      <c r="K7" s="113"/>
      <c r="L7" s="113"/>
      <c r="M7" s="113"/>
      <c r="N7" s="113"/>
      <c r="O7" s="113"/>
      <c r="P7" s="113"/>
      <c r="Q7" s="113"/>
      <c r="R7" s="113"/>
      <c r="S7" s="113" t="s">
        <v>8</v>
      </c>
      <c r="T7" s="113"/>
      <c r="U7" s="117" t="s">
        <v>9</v>
      </c>
      <c r="V7" s="118"/>
      <c r="W7" s="113" t="s">
        <v>10</v>
      </c>
      <c r="X7" s="113" t="s">
        <v>11</v>
      </c>
      <c r="Y7" s="113"/>
      <c r="Z7" s="113"/>
      <c r="AA7" s="113"/>
      <c r="AB7" s="115" t="s">
        <v>12</v>
      </c>
      <c r="AC7" s="3"/>
    </row>
    <row r="8" spans="1:29" ht="15.75" x14ac:dyDescent="0.25">
      <c r="A8" s="16"/>
      <c r="B8" s="16"/>
      <c r="C8" s="16"/>
      <c r="D8" s="16"/>
      <c r="E8" s="109"/>
      <c r="F8" s="111"/>
      <c r="G8" s="114"/>
      <c r="H8" s="114"/>
      <c r="I8" s="114" t="s">
        <v>13</v>
      </c>
      <c r="J8" s="114"/>
      <c r="K8" s="114" t="s">
        <v>14</v>
      </c>
      <c r="L8" s="114"/>
      <c r="M8" s="114" t="s">
        <v>15</v>
      </c>
      <c r="N8" s="114"/>
      <c r="O8" s="114" t="s">
        <v>16</v>
      </c>
      <c r="P8" s="114"/>
      <c r="Q8" s="114" t="s">
        <v>17</v>
      </c>
      <c r="R8" s="114"/>
      <c r="S8" s="114"/>
      <c r="T8" s="114"/>
      <c r="U8" s="119"/>
      <c r="V8" s="120"/>
      <c r="W8" s="114"/>
      <c r="X8" s="114" t="s">
        <v>18</v>
      </c>
      <c r="Y8" s="114" t="s">
        <v>19</v>
      </c>
      <c r="Z8" s="114" t="s">
        <v>20</v>
      </c>
      <c r="AA8" s="114"/>
      <c r="AB8" s="116"/>
      <c r="AC8" s="3"/>
    </row>
    <row r="9" spans="1:29" ht="78.75" x14ac:dyDescent="0.25">
      <c r="A9" s="16"/>
      <c r="B9" s="16"/>
      <c r="C9" s="16"/>
      <c r="D9" s="16"/>
      <c r="E9" s="109"/>
      <c r="F9" s="112"/>
      <c r="G9" s="114"/>
      <c r="H9" s="114"/>
      <c r="I9" s="17" t="s">
        <v>21</v>
      </c>
      <c r="J9" s="17" t="s">
        <v>22</v>
      </c>
      <c r="K9" s="17" t="s">
        <v>23</v>
      </c>
      <c r="L9" s="17" t="s">
        <v>24</v>
      </c>
      <c r="M9" s="17" t="s">
        <v>23</v>
      </c>
      <c r="N9" s="17" t="s">
        <v>24</v>
      </c>
      <c r="O9" s="17" t="s">
        <v>23</v>
      </c>
      <c r="P9" s="17" t="s">
        <v>24</v>
      </c>
      <c r="Q9" s="17" t="s">
        <v>23</v>
      </c>
      <c r="R9" s="17" t="s">
        <v>24</v>
      </c>
      <c r="S9" s="17" t="s">
        <v>13</v>
      </c>
      <c r="T9" s="17" t="s">
        <v>25</v>
      </c>
      <c r="U9" s="17" t="s">
        <v>13</v>
      </c>
      <c r="V9" s="17" t="s">
        <v>26</v>
      </c>
      <c r="W9" s="114"/>
      <c r="X9" s="114"/>
      <c r="Y9" s="114"/>
      <c r="Z9" s="17" t="s">
        <v>27</v>
      </c>
      <c r="AA9" s="17" t="s">
        <v>28</v>
      </c>
      <c r="AB9" s="116"/>
      <c r="AC9" s="3"/>
    </row>
    <row r="10" spans="1:29" ht="16.5" thickBot="1" x14ac:dyDescent="0.3">
      <c r="A10" s="16"/>
      <c r="B10" s="16"/>
      <c r="C10" s="16"/>
      <c r="D10" s="16"/>
      <c r="E10" s="18"/>
      <c r="F10" s="19"/>
      <c r="G10" s="19"/>
      <c r="H10" s="20" t="s">
        <v>29</v>
      </c>
      <c r="I10" s="20" t="s">
        <v>30</v>
      </c>
      <c r="J10" s="20" t="s">
        <v>31</v>
      </c>
      <c r="K10" s="20" t="s">
        <v>32</v>
      </c>
      <c r="L10" s="20" t="s">
        <v>33</v>
      </c>
      <c r="M10" s="20" t="s">
        <v>34</v>
      </c>
      <c r="N10" s="20" t="s">
        <v>35</v>
      </c>
      <c r="O10" s="20" t="s">
        <v>36</v>
      </c>
      <c r="P10" s="20" t="s">
        <v>37</v>
      </c>
      <c r="Q10" s="20" t="s">
        <v>38</v>
      </c>
      <c r="R10" s="20" t="s">
        <v>39</v>
      </c>
      <c r="S10" s="20" t="s">
        <v>40</v>
      </c>
      <c r="T10" s="20" t="s">
        <v>41</v>
      </c>
      <c r="U10" s="20" t="s">
        <v>42</v>
      </c>
      <c r="V10" s="20" t="s">
        <v>43</v>
      </c>
      <c r="W10" s="20" t="s">
        <v>44</v>
      </c>
      <c r="X10" s="20" t="s">
        <v>45</v>
      </c>
      <c r="Y10" s="20" t="s">
        <v>46</v>
      </c>
      <c r="Z10" s="20" t="s">
        <v>47</v>
      </c>
      <c r="AA10" s="20" t="s">
        <v>48</v>
      </c>
      <c r="AB10" s="21" t="s">
        <v>49</v>
      </c>
      <c r="AC10" s="3"/>
    </row>
    <row r="11" spans="1:29" ht="18.75" x14ac:dyDescent="0.25">
      <c r="A11" s="22"/>
      <c r="B11" s="22"/>
      <c r="C11" s="22"/>
      <c r="D11" s="22"/>
      <c r="E11" s="23"/>
      <c r="F11" s="24">
        <v>999</v>
      </c>
      <c r="G11" s="25" t="s">
        <v>50</v>
      </c>
      <c r="H11" s="26">
        <f t="shared" ref="H11:W11" si="0">H12+H26</f>
        <v>112.98520905000001</v>
      </c>
      <c r="I11" s="27">
        <f t="shared" si="0"/>
        <v>22.081000000000003</v>
      </c>
      <c r="J11" s="27">
        <f>J12+J26</f>
        <v>31.930654169999997</v>
      </c>
      <c r="K11" s="26">
        <f t="shared" si="0"/>
        <v>3.1060000000000003</v>
      </c>
      <c r="L11" s="26">
        <f t="shared" si="0"/>
        <v>1.4831999799999998</v>
      </c>
      <c r="M11" s="26">
        <f t="shared" si="0"/>
        <v>7.0730000000000004</v>
      </c>
      <c r="N11" s="26">
        <f t="shared" si="0"/>
        <v>26.675689480000003</v>
      </c>
      <c r="O11" s="26">
        <f t="shared" si="0"/>
        <v>8.7940000000000005</v>
      </c>
      <c r="P11" s="26">
        <f t="shared" si="0"/>
        <v>3.77161217</v>
      </c>
      <c r="Q11" s="26">
        <f t="shared" si="0"/>
        <v>3.1080000000000001</v>
      </c>
      <c r="R11" s="26">
        <f t="shared" si="0"/>
        <v>0</v>
      </c>
      <c r="S11" s="26">
        <f t="shared" si="0"/>
        <v>55.629637487000011</v>
      </c>
      <c r="T11" s="26">
        <f t="shared" si="0"/>
        <v>0.80770752999999995</v>
      </c>
      <c r="U11" s="26">
        <f t="shared" si="0"/>
        <v>55.014775030000003</v>
      </c>
      <c r="V11" s="26">
        <f t="shared" si="0"/>
        <v>0.11961666999999999</v>
      </c>
      <c r="W11" s="26">
        <f t="shared" si="0"/>
        <v>81.054554880000012</v>
      </c>
      <c r="X11" s="27">
        <f>(L11+N11+P11)-(K11+M11+O11)</f>
        <v>12.957501630000003</v>
      </c>
      <c r="Y11" s="28">
        <f t="shared" ref="Y11:Y13" si="1">X11/I11*100</f>
        <v>58.681679407635535</v>
      </c>
      <c r="Z11" s="26">
        <v>0</v>
      </c>
      <c r="AA11" s="26">
        <v>0</v>
      </c>
      <c r="AB11" s="29"/>
      <c r="AC11" s="30"/>
    </row>
    <row r="12" spans="1:29" ht="37.5" x14ac:dyDescent="0.25">
      <c r="A12" s="22"/>
      <c r="B12" s="22"/>
      <c r="C12" s="22"/>
      <c r="D12" s="22"/>
      <c r="E12" s="31" t="s">
        <v>51</v>
      </c>
      <c r="F12" s="32">
        <v>1000</v>
      </c>
      <c r="G12" s="33" t="s">
        <v>52</v>
      </c>
      <c r="H12" s="34">
        <f t="shared" ref="H12:W12" si="2">H13+H19</f>
        <v>61.471000000000004</v>
      </c>
      <c r="I12" s="35">
        <f t="shared" si="2"/>
        <v>22.081000000000003</v>
      </c>
      <c r="J12" s="35">
        <f t="shared" si="2"/>
        <v>12.875429110000001</v>
      </c>
      <c r="K12" s="34">
        <f t="shared" si="2"/>
        <v>3.1060000000000003</v>
      </c>
      <c r="L12" s="34">
        <f t="shared" si="2"/>
        <v>0.36749999999999999</v>
      </c>
      <c r="M12" s="34">
        <f t="shared" si="2"/>
        <v>7.0730000000000004</v>
      </c>
      <c r="N12" s="34">
        <f t="shared" si="2"/>
        <v>9.4238719300000007</v>
      </c>
      <c r="O12" s="34">
        <f t="shared" si="2"/>
        <v>8.7940000000000005</v>
      </c>
      <c r="P12" s="34">
        <f t="shared" si="2"/>
        <v>3.0839046400000001</v>
      </c>
      <c r="Q12" s="34">
        <f t="shared" si="2"/>
        <v>3.1080000000000001</v>
      </c>
      <c r="R12" s="34">
        <f t="shared" si="2"/>
        <v>0</v>
      </c>
      <c r="S12" s="34">
        <f t="shared" si="2"/>
        <v>9.6363037299999998</v>
      </c>
      <c r="T12" s="34">
        <f t="shared" si="2"/>
        <v>0.12</v>
      </c>
      <c r="U12" s="34">
        <f t="shared" si="2"/>
        <v>9.6366766100000003</v>
      </c>
      <c r="V12" s="34">
        <f t="shared" si="2"/>
        <v>0.11961666999999999</v>
      </c>
      <c r="W12" s="34">
        <f t="shared" si="2"/>
        <v>48.595570889999998</v>
      </c>
      <c r="X12" s="35">
        <f>(L12+N12+P12)-(K12+M12+O12)</f>
        <v>-6.0977234299999985</v>
      </c>
      <c r="Y12" s="36">
        <f t="shared" si="1"/>
        <v>-27.615250350980467</v>
      </c>
      <c r="Z12" s="34">
        <v>0</v>
      </c>
      <c r="AA12" s="34">
        <v>0</v>
      </c>
      <c r="AB12" s="37"/>
      <c r="AC12" s="30"/>
    </row>
    <row r="13" spans="1:29" ht="31.5" x14ac:dyDescent="0.25">
      <c r="A13" s="22"/>
      <c r="B13" s="22"/>
      <c r="C13" s="22"/>
      <c r="D13" s="22"/>
      <c r="E13" s="38" t="s">
        <v>53</v>
      </c>
      <c r="F13" s="39">
        <v>1100</v>
      </c>
      <c r="G13" s="40" t="s">
        <v>54</v>
      </c>
      <c r="H13" s="34">
        <f t="shared" ref="H13:X13" si="3">SUM(H14:H15)</f>
        <v>27.466999999999999</v>
      </c>
      <c r="I13" s="35">
        <f t="shared" si="3"/>
        <v>12.427000000000001</v>
      </c>
      <c r="J13" s="35">
        <f t="shared" si="3"/>
        <v>0</v>
      </c>
      <c r="K13" s="34">
        <f t="shared" si="3"/>
        <v>3.1060000000000003</v>
      </c>
      <c r="L13" s="34">
        <f t="shared" si="3"/>
        <v>0</v>
      </c>
      <c r="M13" s="34">
        <f t="shared" si="3"/>
        <v>3.1060000000000003</v>
      </c>
      <c r="N13" s="34">
        <f t="shared" si="3"/>
        <v>0</v>
      </c>
      <c r="O13" s="34">
        <f t="shared" si="3"/>
        <v>3.1070000000000002</v>
      </c>
      <c r="P13" s="34">
        <f t="shared" si="3"/>
        <v>0</v>
      </c>
      <c r="Q13" s="34">
        <f t="shared" si="3"/>
        <v>3.1080000000000001</v>
      </c>
      <c r="R13" s="34">
        <f t="shared" si="3"/>
        <v>0</v>
      </c>
      <c r="S13" s="34">
        <f t="shared" si="3"/>
        <v>0</v>
      </c>
      <c r="T13" s="34">
        <f t="shared" si="3"/>
        <v>0</v>
      </c>
      <c r="U13" s="34">
        <f t="shared" si="3"/>
        <v>0</v>
      </c>
      <c r="V13" s="34">
        <f t="shared" si="3"/>
        <v>0</v>
      </c>
      <c r="W13" s="34">
        <f t="shared" si="3"/>
        <v>27.466999999999999</v>
      </c>
      <c r="X13" s="35">
        <f t="shared" si="3"/>
        <v>-9.3190000000000008</v>
      </c>
      <c r="Y13" s="36">
        <f t="shared" si="1"/>
        <v>-74.989941256940526</v>
      </c>
      <c r="Z13" s="34">
        <v>0</v>
      </c>
      <c r="AA13" s="34">
        <v>0</v>
      </c>
      <c r="AB13" s="37"/>
      <c r="AC13" s="30"/>
    </row>
    <row r="14" spans="1:29" ht="47.25" x14ac:dyDescent="0.25">
      <c r="A14" s="41"/>
      <c r="B14" s="41"/>
      <c r="C14" s="41"/>
      <c r="D14" s="41"/>
      <c r="E14" s="42" t="s">
        <v>55</v>
      </c>
      <c r="F14" s="43">
        <v>110000006</v>
      </c>
      <c r="G14" s="44" t="s">
        <v>56</v>
      </c>
      <c r="H14" s="45">
        <v>3.8660000000000001</v>
      </c>
      <c r="I14" s="46">
        <f t="shared" ref="I14:I15" si="4">K14+M14+O14+Q14</f>
        <v>0.254</v>
      </c>
      <c r="J14" s="46">
        <f t="shared" ref="J14:J15" si="5">L14+N14+P14+R14</f>
        <v>0</v>
      </c>
      <c r="K14" s="45">
        <v>6.3E-2</v>
      </c>
      <c r="L14" s="45"/>
      <c r="M14" s="45">
        <v>6.3E-2</v>
      </c>
      <c r="N14" s="45"/>
      <c r="O14" s="45">
        <v>6.4000000000000001E-2</v>
      </c>
      <c r="P14" s="45"/>
      <c r="Q14" s="45">
        <v>6.4000000000000001E-2</v>
      </c>
      <c r="R14" s="45"/>
      <c r="S14" s="45"/>
      <c r="T14" s="45"/>
      <c r="U14" s="45"/>
      <c r="V14" s="45"/>
      <c r="W14" s="45">
        <f t="shared" ref="W14:W15" si="6">H14-J14</f>
        <v>3.8660000000000001</v>
      </c>
      <c r="X14" s="46">
        <f>(L14+N14+P14)-(K14+M14+O14)</f>
        <v>-0.19</v>
      </c>
      <c r="Y14" s="47">
        <f t="shared" ref="Y14:Y15" si="7">X14/I14*100</f>
        <v>-74.803149606299215</v>
      </c>
      <c r="Z14" s="45"/>
      <c r="AA14" s="45"/>
      <c r="AB14" s="104" t="s">
        <v>126</v>
      </c>
      <c r="AC14" s="48"/>
    </row>
    <row r="15" spans="1:29" ht="110.25" x14ac:dyDescent="0.25">
      <c r="A15" s="41"/>
      <c r="B15" s="41"/>
      <c r="C15" s="41"/>
      <c r="D15" s="41"/>
      <c r="E15" s="42" t="s">
        <v>57</v>
      </c>
      <c r="F15" s="43">
        <v>110000007</v>
      </c>
      <c r="G15" s="44" t="s">
        <v>58</v>
      </c>
      <c r="H15" s="45">
        <v>23.600999999999999</v>
      </c>
      <c r="I15" s="46">
        <f t="shared" si="4"/>
        <v>12.173000000000002</v>
      </c>
      <c r="J15" s="46">
        <f t="shared" si="5"/>
        <v>0</v>
      </c>
      <c r="K15" s="45">
        <v>3.0430000000000001</v>
      </c>
      <c r="L15" s="45"/>
      <c r="M15" s="45">
        <v>3.0430000000000001</v>
      </c>
      <c r="N15" s="45"/>
      <c r="O15" s="45">
        <v>3.0430000000000001</v>
      </c>
      <c r="P15" s="45"/>
      <c r="Q15" s="45">
        <v>3.044</v>
      </c>
      <c r="R15" s="45"/>
      <c r="S15" s="45"/>
      <c r="T15" s="45"/>
      <c r="U15" s="45"/>
      <c r="V15" s="45"/>
      <c r="W15" s="45">
        <f t="shared" si="6"/>
        <v>23.600999999999999</v>
      </c>
      <c r="X15" s="46">
        <f>(L15+N15+P15)-(K15+M15+O15)</f>
        <v>-9.1290000000000013</v>
      </c>
      <c r="Y15" s="47">
        <f t="shared" si="7"/>
        <v>-74.993838823626064</v>
      </c>
      <c r="Z15" s="45"/>
      <c r="AA15" s="45"/>
      <c r="AB15" s="104" t="s">
        <v>127</v>
      </c>
      <c r="AC15" s="48"/>
    </row>
    <row r="16" spans="1:29" ht="31.5" x14ac:dyDescent="0.25">
      <c r="A16" s="22"/>
      <c r="B16" s="22"/>
      <c r="C16" s="22"/>
      <c r="D16" s="22"/>
      <c r="E16" s="38" t="s">
        <v>59</v>
      </c>
      <c r="F16" s="39">
        <v>1200</v>
      </c>
      <c r="G16" s="40" t="s">
        <v>60</v>
      </c>
      <c r="H16" s="34"/>
      <c r="I16" s="35">
        <v>0</v>
      </c>
      <c r="J16" s="35">
        <v>0</v>
      </c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5">
        <v>0</v>
      </c>
      <c r="Y16" s="36">
        <v>0</v>
      </c>
      <c r="Z16" s="34"/>
      <c r="AA16" s="34"/>
      <c r="AB16" s="37"/>
      <c r="AC16" s="30"/>
    </row>
    <row r="17" spans="1:29" ht="15.75" x14ac:dyDescent="0.25">
      <c r="A17" s="22"/>
      <c r="B17" s="22"/>
      <c r="C17" s="22"/>
      <c r="D17" s="22"/>
      <c r="E17" s="38" t="s">
        <v>61</v>
      </c>
      <c r="F17" s="39">
        <v>1300</v>
      </c>
      <c r="G17" s="40" t="s">
        <v>62</v>
      </c>
      <c r="H17" s="34"/>
      <c r="I17" s="35">
        <v>0</v>
      </c>
      <c r="J17" s="35">
        <v>0</v>
      </c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5">
        <v>0</v>
      </c>
      <c r="Y17" s="36">
        <v>0</v>
      </c>
      <c r="Z17" s="34"/>
      <c r="AA17" s="34"/>
      <c r="AB17" s="37"/>
      <c r="AC17" s="30"/>
    </row>
    <row r="18" spans="1:29" ht="47.25" x14ac:dyDescent="0.25">
      <c r="A18" s="22"/>
      <c r="B18" s="22"/>
      <c r="C18" s="22"/>
      <c r="D18" s="22"/>
      <c r="E18" s="38" t="s">
        <v>63</v>
      </c>
      <c r="F18" s="39">
        <v>1400</v>
      </c>
      <c r="G18" s="40" t="s">
        <v>64</v>
      </c>
      <c r="H18" s="34"/>
      <c r="I18" s="35">
        <v>0</v>
      </c>
      <c r="J18" s="35">
        <v>0</v>
      </c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5">
        <v>0</v>
      </c>
      <c r="Y18" s="36">
        <v>0</v>
      </c>
      <c r="Z18" s="34"/>
      <c r="AA18" s="34"/>
      <c r="AB18" s="37"/>
      <c r="AC18" s="30"/>
    </row>
    <row r="19" spans="1:29" ht="15.75" x14ac:dyDescent="0.25">
      <c r="A19" s="22"/>
      <c r="B19" s="22"/>
      <c r="C19" s="22"/>
      <c r="D19" s="22"/>
      <c r="E19" s="38" t="s">
        <v>65</v>
      </c>
      <c r="F19" s="39">
        <v>1500</v>
      </c>
      <c r="G19" s="40" t="s">
        <v>66</v>
      </c>
      <c r="H19" s="34">
        <f t="shared" ref="H19:M19" si="8">SUM(H20:H25)</f>
        <v>34.004000000000005</v>
      </c>
      <c r="I19" s="35">
        <f t="shared" si="8"/>
        <v>9.6539999999999999</v>
      </c>
      <c r="J19" s="35">
        <f t="shared" si="8"/>
        <v>12.875429110000001</v>
      </c>
      <c r="K19" s="34">
        <f t="shared" si="8"/>
        <v>0</v>
      </c>
      <c r="L19" s="34">
        <f t="shared" si="8"/>
        <v>0.36749999999999999</v>
      </c>
      <c r="M19" s="34">
        <f t="shared" si="8"/>
        <v>3.9670000000000001</v>
      </c>
      <c r="N19" s="34">
        <f>SUM(N20:N25)</f>
        <v>9.4238719300000007</v>
      </c>
      <c r="O19" s="34">
        <f t="shared" ref="O19:X19" si="9">SUM(O20:O25)</f>
        <v>5.6870000000000003</v>
      </c>
      <c r="P19" s="34">
        <f t="shared" si="9"/>
        <v>3.0839046400000001</v>
      </c>
      <c r="Q19" s="34">
        <f t="shared" si="9"/>
        <v>0</v>
      </c>
      <c r="R19" s="34">
        <f t="shared" si="9"/>
        <v>0</v>
      </c>
      <c r="S19" s="34">
        <f t="shared" si="9"/>
        <v>9.6363037299999998</v>
      </c>
      <c r="T19" s="34">
        <f t="shared" si="9"/>
        <v>0.12</v>
      </c>
      <c r="U19" s="34">
        <f t="shared" si="9"/>
        <v>9.6366766100000003</v>
      </c>
      <c r="V19" s="34">
        <f t="shared" si="9"/>
        <v>0.11961666999999999</v>
      </c>
      <c r="W19" s="34">
        <f t="shared" si="9"/>
        <v>21.128570889999999</v>
      </c>
      <c r="X19" s="35">
        <f t="shared" si="9"/>
        <v>3.2212765700000006</v>
      </c>
      <c r="Y19" s="36">
        <f>X19/I19*100</f>
        <v>33.367273358193501</v>
      </c>
      <c r="Z19" s="34">
        <v>0</v>
      </c>
      <c r="AA19" s="34">
        <v>0</v>
      </c>
      <c r="AB19" s="37"/>
      <c r="AC19" s="30"/>
    </row>
    <row r="20" spans="1:29" ht="110.25" x14ac:dyDescent="0.25">
      <c r="A20" s="41"/>
      <c r="B20" s="41"/>
      <c r="C20" s="41"/>
      <c r="D20" s="41"/>
      <c r="E20" s="42" t="s">
        <v>67</v>
      </c>
      <c r="F20" s="43">
        <v>150000001</v>
      </c>
      <c r="G20" s="44" t="s">
        <v>68</v>
      </c>
      <c r="H20" s="45">
        <v>9.0030000000000001</v>
      </c>
      <c r="I20" s="46">
        <f t="shared" ref="I20:J24" si="10">K20+M20+O20+Q20</f>
        <v>5.6870000000000003</v>
      </c>
      <c r="J20" s="46">
        <f t="shared" si="10"/>
        <v>0</v>
      </c>
      <c r="K20" s="45"/>
      <c r="L20" s="45"/>
      <c r="M20" s="45"/>
      <c r="N20" s="45"/>
      <c r="O20" s="45">
        <v>5.6870000000000003</v>
      </c>
      <c r="P20" s="45"/>
      <c r="Q20" s="45"/>
      <c r="R20" s="45"/>
      <c r="S20" s="45"/>
      <c r="T20" s="45"/>
      <c r="U20" s="45"/>
      <c r="V20" s="45"/>
      <c r="W20" s="45">
        <f t="shared" ref="W20:W25" si="11">H20-J20</f>
        <v>9.0030000000000001</v>
      </c>
      <c r="X20" s="46">
        <f t="shared" ref="X20:X25" si="12">(L20+N20+P20)-(K20+M20+O20)</f>
        <v>-5.6870000000000003</v>
      </c>
      <c r="Y20" s="47">
        <f t="shared" ref="Y20:Y21" si="13">X20/I20*100</f>
        <v>-100</v>
      </c>
      <c r="Z20" s="45"/>
      <c r="AA20" s="45"/>
      <c r="AB20" s="103" t="s">
        <v>112</v>
      </c>
      <c r="AC20" s="48"/>
    </row>
    <row r="21" spans="1:29" ht="94.5" x14ac:dyDescent="0.25">
      <c r="A21" s="41"/>
      <c r="B21" s="41"/>
      <c r="C21" s="41"/>
      <c r="D21" s="41"/>
      <c r="E21" s="42" t="s">
        <v>69</v>
      </c>
      <c r="F21" s="43"/>
      <c r="G21" s="44" t="s">
        <v>125</v>
      </c>
      <c r="H21" s="45">
        <v>3.9670000000000001</v>
      </c>
      <c r="I21" s="46">
        <f t="shared" si="10"/>
        <v>3.9670000000000001</v>
      </c>
      <c r="J21" s="46">
        <f t="shared" si="10"/>
        <v>0</v>
      </c>
      <c r="K21" s="45"/>
      <c r="L21" s="45"/>
      <c r="M21" s="45">
        <v>3.9670000000000001</v>
      </c>
      <c r="N21" s="45"/>
      <c r="O21" s="45"/>
      <c r="P21" s="45"/>
      <c r="Q21" s="45"/>
      <c r="R21" s="45"/>
      <c r="S21" s="45"/>
      <c r="T21" s="45"/>
      <c r="U21" s="45"/>
      <c r="V21" s="45"/>
      <c r="W21" s="45">
        <f t="shared" si="11"/>
        <v>3.9670000000000001</v>
      </c>
      <c r="X21" s="46">
        <f t="shared" si="12"/>
        <v>-3.9670000000000001</v>
      </c>
      <c r="Y21" s="47">
        <f t="shared" si="13"/>
        <v>-100</v>
      </c>
      <c r="Z21" s="45"/>
      <c r="AA21" s="45"/>
      <c r="AB21" s="103" t="s">
        <v>112</v>
      </c>
      <c r="AC21" s="48"/>
    </row>
    <row r="22" spans="1:29" ht="78.75" x14ac:dyDescent="0.25">
      <c r="A22" s="41"/>
      <c r="B22" s="41"/>
      <c r="C22" s="41"/>
      <c r="D22" s="41"/>
      <c r="E22" s="42" t="s">
        <v>70</v>
      </c>
      <c r="F22" s="43"/>
      <c r="G22" s="44" t="s">
        <v>102</v>
      </c>
      <c r="H22" s="45">
        <v>1.6439999999999999</v>
      </c>
      <c r="I22" s="46">
        <f t="shared" si="10"/>
        <v>0</v>
      </c>
      <c r="J22" s="46">
        <f t="shared" si="10"/>
        <v>0</v>
      </c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>
        <f t="shared" si="11"/>
        <v>1.6439999999999999</v>
      </c>
      <c r="X22" s="46">
        <f t="shared" si="12"/>
        <v>0</v>
      </c>
      <c r="Y22" s="47">
        <v>0</v>
      </c>
      <c r="Z22" s="45"/>
      <c r="AA22" s="45"/>
      <c r="AB22" s="103" t="s">
        <v>135</v>
      </c>
      <c r="AC22" s="48"/>
    </row>
    <row r="23" spans="1:29" ht="126" x14ac:dyDescent="0.25">
      <c r="A23" s="41"/>
      <c r="B23" s="41"/>
      <c r="C23" s="41"/>
      <c r="D23" s="41"/>
      <c r="E23" s="42" t="s">
        <v>71</v>
      </c>
      <c r="F23" s="43"/>
      <c r="G23" s="44" t="s">
        <v>103</v>
      </c>
      <c r="H23" s="45">
        <v>9.8420000000000005</v>
      </c>
      <c r="I23" s="46">
        <f t="shared" si="10"/>
        <v>0</v>
      </c>
      <c r="J23" s="46">
        <f t="shared" si="10"/>
        <v>3.30786464</v>
      </c>
      <c r="K23" s="45"/>
      <c r="L23" s="45">
        <f>367500/1000000</f>
        <v>0.36749999999999999</v>
      </c>
      <c r="M23" s="45"/>
      <c r="N23" s="45"/>
      <c r="O23" s="45"/>
      <c r="P23" s="45">
        <f>2.94036464</f>
        <v>2.9403646399999999</v>
      </c>
      <c r="Q23" s="45"/>
      <c r="R23" s="45"/>
      <c r="S23" s="45"/>
      <c r="T23" s="45"/>
      <c r="U23" s="45"/>
      <c r="V23" s="45"/>
      <c r="W23" s="45">
        <f t="shared" si="11"/>
        <v>6.5341353600000005</v>
      </c>
      <c r="X23" s="46">
        <f t="shared" si="12"/>
        <v>3.30786464</v>
      </c>
      <c r="Y23" s="47">
        <v>0</v>
      </c>
      <c r="Z23" s="45"/>
      <c r="AA23" s="45"/>
      <c r="AB23" s="103" t="s">
        <v>128</v>
      </c>
      <c r="AC23" s="48"/>
    </row>
    <row r="24" spans="1:29" ht="141.75" x14ac:dyDescent="0.25">
      <c r="A24" s="41"/>
      <c r="B24" s="41"/>
      <c r="C24" s="41"/>
      <c r="D24" s="41"/>
      <c r="E24" s="42" t="s">
        <v>72</v>
      </c>
      <c r="F24" s="43">
        <v>150000005</v>
      </c>
      <c r="G24" s="44" t="s">
        <v>73</v>
      </c>
      <c r="H24" s="45">
        <v>1.3939999999999999</v>
      </c>
      <c r="I24" s="46">
        <f t="shared" si="10"/>
        <v>0</v>
      </c>
      <c r="J24" s="46">
        <f t="shared" si="10"/>
        <v>1.41441193</v>
      </c>
      <c r="K24" s="45"/>
      <c r="L24" s="45"/>
      <c r="M24" s="45"/>
      <c r="N24" s="45">
        <f>0.16120885+0.2587596+0.85090348</f>
        <v>1.27087193</v>
      </c>
      <c r="O24" s="45"/>
      <c r="P24" s="45">
        <v>0.14354</v>
      </c>
      <c r="Q24" s="45"/>
      <c r="R24" s="45"/>
      <c r="S24" s="45">
        <f>(50037.89+84302.82)/1000000+0.215633+0.70908623+0.11961667</f>
        <v>1.1786766100000001</v>
      </c>
      <c r="T24" s="45">
        <f>0.12</f>
        <v>0.12</v>
      </c>
      <c r="U24" s="45">
        <f>(50037.89+84302.82)/1000000+0.215633+0.70908623+0.11961667</f>
        <v>1.1786766100000001</v>
      </c>
      <c r="V24" s="45">
        <f>0.11961667</f>
        <v>0.11961666999999999</v>
      </c>
      <c r="W24" s="45">
        <f t="shared" si="11"/>
        <v>-2.0411930000000078E-2</v>
      </c>
      <c r="X24" s="46">
        <f t="shared" si="12"/>
        <v>1.41441193</v>
      </c>
      <c r="Y24" s="47">
        <v>0</v>
      </c>
      <c r="Z24" s="45"/>
      <c r="AA24" s="45"/>
      <c r="AB24" s="103" t="s">
        <v>137</v>
      </c>
      <c r="AC24" s="48"/>
    </row>
    <row r="25" spans="1:29" ht="31.5" x14ac:dyDescent="0.25">
      <c r="A25" s="41"/>
      <c r="B25" s="41"/>
      <c r="C25" s="41"/>
      <c r="D25" s="41"/>
      <c r="E25" s="42" t="s">
        <v>74</v>
      </c>
      <c r="F25" s="43"/>
      <c r="G25" s="44" t="s">
        <v>124</v>
      </c>
      <c r="H25" s="45">
        <v>8.1539999999999999</v>
      </c>
      <c r="I25" s="46">
        <f>K25+M25+O25+Q25</f>
        <v>0</v>
      </c>
      <c r="J25" s="46">
        <f>L25+'[1]11кв источники'!L82+P25+R25</f>
        <v>8.1531525400000007</v>
      </c>
      <c r="K25" s="45"/>
      <c r="L25" s="45"/>
      <c r="M25" s="45"/>
      <c r="N25" s="107">
        <v>8.1530000000000005</v>
      </c>
      <c r="O25" s="45"/>
      <c r="P25" s="45"/>
      <c r="Q25" s="45"/>
      <c r="R25" s="45"/>
      <c r="S25" s="45">
        <f>8.45762712</f>
        <v>8.4576271199999997</v>
      </c>
      <c r="T25" s="45"/>
      <c r="U25" s="45">
        <v>8.4580000000000002</v>
      </c>
      <c r="V25" s="45"/>
      <c r="W25" s="45">
        <f t="shared" si="11"/>
        <v>8.4745999999924493E-4</v>
      </c>
      <c r="X25" s="46">
        <f t="shared" si="12"/>
        <v>8.1530000000000005</v>
      </c>
      <c r="Y25" s="47">
        <v>0</v>
      </c>
      <c r="Z25" s="45"/>
      <c r="AA25" s="45"/>
      <c r="AB25" s="105" t="s">
        <v>129</v>
      </c>
      <c r="AC25" s="48"/>
    </row>
    <row r="26" spans="1:29" ht="20.25" x14ac:dyDescent="0.25">
      <c r="A26" s="22"/>
      <c r="B26" s="22"/>
      <c r="C26" s="22"/>
      <c r="D26" s="22"/>
      <c r="E26" s="31" t="s">
        <v>75</v>
      </c>
      <c r="F26" s="32">
        <v>2000</v>
      </c>
      <c r="G26" s="33" t="s">
        <v>76</v>
      </c>
      <c r="H26" s="34">
        <f>H27+H28</f>
        <v>51.514209049999998</v>
      </c>
      <c r="I26" s="35">
        <f t="shared" ref="I26:X26" si="14">I27+I28</f>
        <v>0</v>
      </c>
      <c r="J26" s="35">
        <f t="shared" si="14"/>
        <v>19.055225059999998</v>
      </c>
      <c r="K26" s="34">
        <f t="shared" si="14"/>
        <v>0</v>
      </c>
      <c r="L26" s="34">
        <f t="shared" si="14"/>
        <v>1.1156999799999998</v>
      </c>
      <c r="M26" s="34">
        <f t="shared" si="14"/>
        <v>0</v>
      </c>
      <c r="N26" s="34">
        <f t="shared" si="14"/>
        <v>17.251817550000002</v>
      </c>
      <c r="O26" s="34">
        <f t="shared" si="14"/>
        <v>0</v>
      </c>
      <c r="P26" s="34">
        <f t="shared" si="14"/>
        <v>0.68770752999999996</v>
      </c>
      <c r="Q26" s="34">
        <f t="shared" si="14"/>
        <v>0</v>
      </c>
      <c r="R26" s="34">
        <f t="shared" si="14"/>
        <v>0</v>
      </c>
      <c r="S26" s="34">
        <f t="shared" si="14"/>
        <v>45.993333757000009</v>
      </c>
      <c r="T26" s="34">
        <f t="shared" si="14"/>
        <v>0.68770752999999996</v>
      </c>
      <c r="U26" s="34">
        <f t="shared" si="14"/>
        <v>45.378098420000001</v>
      </c>
      <c r="V26" s="34">
        <f t="shared" si="14"/>
        <v>0</v>
      </c>
      <c r="W26" s="34">
        <f t="shared" si="14"/>
        <v>32.458983990000007</v>
      </c>
      <c r="X26" s="35">
        <f t="shared" si="14"/>
        <v>19.055225059999998</v>
      </c>
      <c r="Y26" s="36">
        <v>0</v>
      </c>
      <c r="Z26" s="34">
        <v>0</v>
      </c>
      <c r="AA26" s="34">
        <v>0</v>
      </c>
      <c r="AB26" s="37"/>
      <c r="AC26" s="30"/>
    </row>
    <row r="27" spans="1:29" ht="31.5" x14ac:dyDescent="0.25">
      <c r="A27" s="22"/>
      <c r="B27" s="22"/>
      <c r="C27" s="22"/>
      <c r="D27" s="22"/>
      <c r="E27" s="38" t="s">
        <v>77</v>
      </c>
      <c r="F27" s="39">
        <v>2100</v>
      </c>
      <c r="G27" s="40" t="s">
        <v>54</v>
      </c>
      <c r="H27" s="34"/>
      <c r="I27" s="35">
        <v>0</v>
      </c>
      <c r="J27" s="35">
        <v>0</v>
      </c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5">
        <v>0</v>
      </c>
      <c r="Y27" s="36">
        <v>0</v>
      </c>
      <c r="Z27" s="34"/>
      <c r="AA27" s="34"/>
      <c r="AB27" s="37"/>
      <c r="AC27" s="30"/>
    </row>
    <row r="28" spans="1:29" ht="15.75" x14ac:dyDescent="0.25">
      <c r="A28" s="22"/>
      <c r="B28" s="22"/>
      <c r="C28" s="22"/>
      <c r="D28" s="22"/>
      <c r="E28" s="38" t="s">
        <v>78</v>
      </c>
      <c r="F28" s="49">
        <v>2200</v>
      </c>
      <c r="G28" s="40" t="s">
        <v>79</v>
      </c>
      <c r="H28" s="34">
        <f>SUM(H29:H37)</f>
        <v>51.514209049999998</v>
      </c>
      <c r="I28" s="35">
        <f t="shared" ref="I28:V28" si="15">SUM(I29:I37)</f>
        <v>0</v>
      </c>
      <c r="J28" s="35">
        <f t="shared" si="15"/>
        <v>19.055225059999998</v>
      </c>
      <c r="K28" s="34">
        <f t="shared" si="15"/>
        <v>0</v>
      </c>
      <c r="L28" s="34">
        <f t="shared" si="15"/>
        <v>1.1156999799999998</v>
      </c>
      <c r="M28" s="34">
        <f t="shared" si="15"/>
        <v>0</v>
      </c>
      <c r="N28" s="106">
        <f t="shared" si="15"/>
        <v>17.251817550000002</v>
      </c>
      <c r="O28" s="34">
        <f t="shared" si="15"/>
        <v>0</v>
      </c>
      <c r="P28" s="34">
        <f t="shared" si="15"/>
        <v>0.68770752999999996</v>
      </c>
      <c r="Q28" s="34">
        <f t="shared" si="15"/>
        <v>0</v>
      </c>
      <c r="R28" s="34">
        <f t="shared" si="15"/>
        <v>0</v>
      </c>
      <c r="S28" s="34">
        <f t="shared" si="15"/>
        <v>45.993333757000009</v>
      </c>
      <c r="T28" s="34">
        <f t="shared" si="15"/>
        <v>0.68770752999999996</v>
      </c>
      <c r="U28" s="34">
        <f t="shared" si="15"/>
        <v>45.378098420000001</v>
      </c>
      <c r="V28" s="34">
        <f t="shared" si="15"/>
        <v>0</v>
      </c>
      <c r="W28" s="34">
        <f>SUM(W29:W37)</f>
        <v>32.458983990000007</v>
      </c>
      <c r="X28" s="35">
        <f>SUM(X29:X37)</f>
        <v>19.055225059999998</v>
      </c>
      <c r="Y28" s="36">
        <v>0</v>
      </c>
      <c r="Z28" s="34">
        <v>0</v>
      </c>
      <c r="AA28" s="34">
        <v>0</v>
      </c>
      <c r="AB28" s="37"/>
      <c r="AC28" s="30"/>
    </row>
    <row r="29" spans="1:29" ht="78.75" x14ac:dyDescent="0.25">
      <c r="A29" s="41"/>
      <c r="B29" s="41"/>
      <c r="C29" s="41"/>
      <c r="D29" s="41"/>
      <c r="E29" s="42" t="s">
        <v>80</v>
      </c>
      <c r="F29" s="43"/>
      <c r="G29" s="44" t="s">
        <v>81</v>
      </c>
      <c r="H29" s="45">
        <v>30.068000000000001</v>
      </c>
      <c r="I29" s="46">
        <f t="shared" ref="I29:J36" si="16">K29+M29+O29+Q29</f>
        <v>0</v>
      </c>
      <c r="J29" s="46">
        <f t="shared" si="16"/>
        <v>15</v>
      </c>
      <c r="K29" s="45"/>
      <c r="L29" s="45"/>
      <c r="M29" s="45"/>
      <c r="N29" s="45">
        <v>15</v>
      </c>
      <c r="O29" s="45"/>
      <c r="P29" s="45"/>
      <c r="Q29" s="45"/>
      <c r="R29" s="45"/>
      <c r="S29" s="45">
        <f>(1.36458098*2)+1.61422485+17.43462344+10.79093206+9.081625537</f>
        <v>41.650567846999998</v>
      </c>
      <c r="T29" s="45"/>
      <c r="U29" s="45">
        <f>45.22411034</f>
        <v>45.224110340000003</v>
      </c>
      <c r="V29" s="45"/>
      <c r="W29" s="45">
        <f>H29-J29</f>
        <v>15.068000000000001</v>
      </c>
      <c r="X29" s="46">
        <f t="shared" ref="X29:X37" si="17">(L29+N29+P29)-(K29+M29+O29)</f>
        <v>15</v>
      </c>
      <c r="Y29" s="47">
        <v>0</v>
      </c>
      <c r="Z29" s="45"/>
      <c r="AA29" s="45"/>
      <c r="AB29" s="103" t="s">
        <v>113</v>
      </c>
      <c r="AC29" s="48"/>
    </row>
    <row r="30" spans="1:29" ht="110.25" x14ac:dyDescent="0.25">
      <c r="A30" s="41"/>
      <c r="B30" s="41"/>
      <c r="C30" s="41"/>
      <c r="D30" s="41"/>
      <c r="E30" s="42" t="s">
        <v>82</v>
      </c>
      <c r="F30" s="43"/>
      <c r="G30" s="44" t="s">
        <v>84</v>
      </c>
      <c r="H30" s="45">
        <v>5.7610000000000001</v>
      </c>
      <c r="I30" s="46">
        <f t="shared" si="16"/>
        <v>0</v>
      </c>
      <c r="J30" s="46">
        <f t="shared" si="16"/>
        <v>0</v>
      </c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>
        <f t="shared" ref="W30:W37" si="18">H30-J30</f>
        <v>5.7610000000000001</v>
      </c>
      <c r="X30" s="46">
        <f t="shared" si="17"/>
        <v>0</v>
      </c>
      <c r="Y30" s="47">
        <v>0</v>
      </c>
      <c r="Z30" s="45"/>
      <c r="AA30" s="45"/>
      <c r="AB30" s="103" t="s">
        <v>133</v>
      </c>
      <c r="AC30" s="48"/>
    </row>
    <row r="31" spans="1:29" ht="94.5" x14ac:dyDescent="0.25">
      <c r="A31" s="41"/>
      <c r="B31" s="41"/>
      <c r="C31" s="41"/>
      <c r="D31" s="41"/>
      <c r="E31" s="42" t="s">
        <v>83</v>
      </c>
      <c r="F31" s="43"/>
      <c r="G31" s="44" t="s">
        <v>100</v>
      </c>
      <c r="H31" s="45">
        <f>6.967083-2.090125</f>
        <v>4.8769580000000001</v>
      </c>
      <c r="I31" s="46">
        <f t="shared" si="16"/>
        <v>0</v>
      </c>
      <c r="J31" s="46">
        <f t="shared" si="16"/>
        <v>0.64093356999999995</v>
      </c>
      <c r="K31" s="45"/>
      <c r="L31" s="45">
        <f>232026.16/1000000</f>
        <v>0.23202616000000001</v>
      </c>
      <c r="M31" s="45"/>
      <c r="N31" s="45">
        <f>0.21867658</f>
        <v>0.21867658000000001</v>
      </c>
      <c r="O31" s="45"/>
      <c r="P31" s="45">
        <f>0.19023083</f>
        <v>0.19023082999999999</v>
      </c>
      <c r="Q31" s="45"/>
      <c r="R31" s="45"/>
      <c r="S31" s="45">
        <f>232026.16/1000000+0.21867658+0.19023083</f>
        <v>0.64093356999999995</v>
      </c>
      <c r="T31" s="45">
        <f>0.19023083</f>
        <v>0.19023082999999999</v>
      </c>
      <c r="U31" s="45"/>
      <c r="V31" s="45"/>
      <c r="W31" s="45">
        <f t="shared" si="18"/>
        <v>4.2360244300000005</v>
      </c>
      <c r="X31" s="46">
        <f t="shared" si="17"/>
        <v>0.64093356999999995</v>
      </c>
      <c r="Y31" s="47">
        <v>0</v>
      </c>
      <c r="Z31" s="45"/>
      <c r="AA31" s="45"/>
      <c r="AB31" s="103" t="s">
        <v>114</v>
      </c>
      <c r="AC31" s="48"/>
    </row>
    <row r="32" spans="1:29" ht="94.5" x14ac:dyDescent="0.25">
      <c r="A32" s="41"/>
      <c r="B32" s="41"/>
      <c r="C32" s="41"/>
      <c r="D32" s="41"/>
      <c r="E32" s="42" t="s">
        <v>85</v>
      </c>
      <c r="F32" s="43"/>
      <c r="G32" s="44" t="s">
        <v>101</v>
      </c>
      <c r="H32" s="45">
        <f>1.4943459-0.448303</f>
        <v>1.0460428999999998</v>
      </c>
      <c r="I32" s="46">
        <f t="shared" si="16"/>
        <v>0</v>
      </c>
      <c r="J32" s="46">
        <f t="shared" si="16"/>
        <v>0.13733753000000001</v>
      </c>
      <c r="K32" s="45"/>
      <c r="L32" s="45">
        <f>49775.57/1000000</f>
        <v>4.9775569999999998E-2</v>
      </c>
      <c r="M32" s="45"/>
      <c r="N32" s="45">
        <f>0.04671646</f>
        <v>4.6716460000000001E-2</v>
      </c>
      <c r="O32" s="45"/>
      <c r="P32" s="45">
        <f>0.0408455</f>
        <v>4.08455E-2</v>
      </c>
      <c r="Q32" s="45"/>
      <c r="R32" s="45"/>
      <c r="S32" s="45">
        <f>49775.57/1000000+0.04671646+0.0408455</f>
        <v>0.13733753000000001</v>
      </c>
      <c r="T32" s="45">
        <f>0.0408455</f>
        <v>4.08455E-2</v>
      </c>
      <c r="U32" s="45"/>
      <c r="V32" s="45"/>
      <c r="W32" s="45">
        <f t="shared" si="18"/>
        <v>0.90870536999999973</v>
      </c>
      <c r="X32" s="46">
        <f t="shared" si="17"/>
        <v>0.13733753000000001</v>
      </c>
      <c r="Y32" s="47">
        <v>0</v>
      </c>
      <c r="Z32" s="45"/>
      <c r="AA32" s="45"/>
      <c r="AB32" s="103" t="s">
        <v>114</v>
      </c>
      <c r="AC32" s="48"/>
    </row>
    <row r="33" spans="1:29" ht="31.5" x14ac:dyDescent="0.25">
      <c r="A33" s="41"/>
      <c r="B33" s="41"/>
      <c r="C33" s="41"/>
      <c r="D33" s="41"/>
      <c r="E33" s="42" t="s">
        <v>115</v>
      </c>
      <c r="F33" s="43"/>
      <c r="G33" s="44" t="s">
        <v>119</v>
      </c>
      <c r="H33" s="45">
        <v>1.3420000000000001</v>
      </c>
      <c r="I33" s="46">
        <f t="shared" si="16"/>
        <v>0</v>
      </c>
      <c r="J33" s="46">
        <f t="shared" si="16"/>
        <v>0.52235096000000003</v>
      </c>
      <c r="K33" s="45"/>
      <c r="L33" s="45">
        <f>(44763.87+402459.15)/1000000</f>
        <v>0.44722302000000003</v>
      </c>
      <c r="M33" s="45"/>
      <c r="N33" s="45">
        <f>0.07512794</f>
        <v>7.5127940000000004E-2</v>
      </c>
      <c r="O33" s="45"/>
      <c r="P33" s="45"/>
      <c r="Q33" s="45"/>
      <c r="R33" s="45"/>
      <c r="S33" s="45">
        <f>44763.87/1000000+0.07512794</f>
        <v>0.11989181000000002</v>
      </c>
      <c r="T33" s="45"/>
      <c r="U33" s="45"/>
      <c r="V33" s="45"/>
      <c r="W33" s="45">
        <f t="shared" si="18"/>
        <v>0.81964904000000005</v>
      </c>
      <c r="X33" s="46">
        <f t="shared" si="17"/>
        <v>0.52235096000000003</v>
      </c>
      <c r="Y33" s="47">
        <v>0</v>
      </c>
      <c r="Z33" s="45"/>
      <c r="AA33" s="45"/>
      <c r="AB33" s="103" t="s">
        <v>123</v>
      </c>
      <c r="AC33" s="48"/>
    </row>
    <row r="34" spans="1:29" ht="31.5" x14ac:dyDescent="0.25">
      <c r="A34" s="41"/>
      <c r="B34" s="41"/>
      <c r="C34" s="41"/>
      <c r="D34" s="41"/>
      <c r="E34" s="42" t="s">
        <v>116</v>
      </c>
      <c r="F34" s="43"/>
      <c r="G34" s="44" t="s">
        <v>120</v>
      </c>
      <c r="H34" s="45">
        <v>1.3120000000000001</v>
      </c>
      <c r="I34" s="46">
        <f t="shared" si="16"/>
        <v>0</v>
      </c>
      <c r="J34" s="46">
        <f t="shared" si="16"/>
        <v>8.5005949999999997E-2</v>
      </c>
      <c r="K34" s="45"/>
      <c r="L34" s="45">
        <f>43627.75/1000000</f>
        <v>4.362775E-2</v>
      </c>
      <c r="M34" s="45"/>
      <c r="N34" s="45">
        <f>0.0413782</f>
        <v>4.1378199999999997E-2</v>
      </c>
      <c r="O34" s="45"/>
      <c r="P34" s="45"/>
      <c r="Q34" s="45"/>
      <c r="R34" s="45"/>
      <c r="S34" s="45">
        <f>43627.75/1000000+0.0413782</f>
        <v>8.5005949999999997E-2</v>
      </c>
      <c r="T34" s="45"/>
      <c r="U34" s="45"/>
      <c r="V34" s="45"/>
      <c r="W34" s="45">
        <f t="shared" si="18"/>
        <v>1.2269940500000001</v>
      </c>
      <c r="X34" s="46">
        <f t="shared" si="17"/>
        <v>8.5005949999999997E-2</v>
      </c>
      <c r="Y34" s="47">
        <v>0</v>
      </c>
      <c r="Z34" s="45"/>
      <c r="AA34" s="45"/>
      <c r="AB34" s="103" t="s">
        <v>123</v>
      </c>
      <c r="AC34" s="48"/>
    </row>
    <row r="35" spans="1:29" ht="78.75" x14ac:dyDescent="0.25">
      <c r="A35" s="41"/>
      <c r="B35" s="41"/>
      <c r="C35" s="41"/>
      <c r="D35" s="41"/>
      <c r="E35" s="42" t="s">
        <v>117</v>
      </c>
      <c r="F35" s="43"/>
      <c r="G35" s="44" t="s">
        <v>121</v>
      </c>
      <c r="H35" s="45">
        <v>5.5720000000000001</v>
      </c>
      <c r="I35" s="46">
        <f t="shared" si="16"/>
        <v>0</v>
      </c>
      <c r="J35" s="46">
        <f t="shared" si="16"/>
        <v>0.51196112999999999</v>
      </c>
      <c r="K35" s="45"/>
      <c r="L35" s="45">
        <f>185499.33/1000000</f>
        <v>0.18549932999999999</v>
      </c>
      <c r="M35" s="45"/>
      <c r="N35" s="45">
        <f>0.17468421</f>
        <v>0.17468421000000001</v>
      </c>
      <c r="O35" s="45"/>
      <c r="P35" s="45">
        <f>0.15177759</f>
        <v>0.15177758999999999</v>
      </c>
      <c r="Q35" s="45"/>
      <c r="R35" s="45"/>
      <c r="S35" s="45">
        <f>185499.33/1000000+0.17468421+0.15177759</f>
        <v>0.51196112999999999</v>
      </c>
      <c r="T35" s="45">
        <f>0.15177759</f>
        <v>0.15177758999999999</v>
      </c>
      <c r="U35" s="45"/>
      <c r="V35" s="45"/>
      <c r="W35" s="45">
        <f t="shared" si="18"/>
        <v>5.0600388699999996</v>
      </c>
      <c r="X35" s="46">
        <f t="shared" si="17"/>
        <v>0.51196112999999999</v>
      </c>
      <c r="Y35" s="47">
        <v>0</v>
      </c>
      <c r="Z35" s="45"/>
      <c r="AA35" s="45"/>
      <c r="AB35" s="103" t="s">
        <v>123</v>
      </c>
      <c r="AC35" s="48"/>
    </row>
    <row r="36" spans="1:29" ht="31.5" x14ac:dyDescent="0.25">
      <c r="A36" s="41"/>
      <c r="B36" s="41"/>
      <c r="C36" s="41"/>
      <c r="D36" s="41"/>
      <c r="E36" s="42" t="s">
        <v>118</v>
      </c>
      <c r="F36" s="43"/>
      <c r="G36" s="44" t="s">
        <v>122</v>
      </c>
      <c r="H36" s="45">
        <f>2.3-0.69</f>
        <v>1.6099999999999999</v>
      </c>
      <c r="I36" s="46">
        <f t="shared" si="16"/>
        <v>0</v>
      </c>
      <c r="J36" s="46">
        <f t="shared" si="16"/>
        <v>2.0908517300000002</v>
      </c>
      <c r="K36" s="45"/>
      <c r="L36" s="45">
        <f>90763.96/1000000</f>
        <v>9.0763960000000005E-2</v>
      </c>
      <c r="M36" s="45"/>
      <c r="N36" s="45">
        <f>0.08523416+1.61</f>
        <v>1.69523416</v>
      </c>
      <c r="O36" s="45"/>
      <c r="P36" s="45">
        <f>0.30485361</f>
        <v>0.30485361</v>
      </c>
      <c r="Q36" s="45"/>
      <c r="R36" s="45"/>
      <c r="S36" s="45">
        <f>90763.96/1000000+2.38523416+0.30485361</f>
        <v>2.7808517299999997</v>
      </c>
      <c r="T36" s="45">
        <f>0.30485361</f>
        <v>0.30485361</v>
      </c>
      <c r="U36" s="45"/>
      <c r="V36" s="45"/>
      <c r="W36" s="45">
        <f t="shared" si="18"/>
        <v>-0.48085173000000037</v>
      </c>
      <c r="X36" s="46">
        <f t="shared" si="17"/>
        <v>2.0908517300000002</v>
      </c>
      <c r="Y36" s="47">
        <v>0</v>
      </c>
      <c r="Z36" s="45"/>
      <c r="AA36" s="45"/>
      <c r="AB36" s="103" t="s">
        <v>134</v>
      </c>
      <c r="AC36" s="48"/>
    </row>
    <row r="37" spans="1:29" ht="94.5" x14ac:dyDescent="0.25">
      <c r="A37" s="41"/>
      <c r="B37" s="41"/>
      <c r="C37" s="41"/>
      <c r="D37" s="41"/>
      <c r="E37" s="42" t="s">
        <v>130</v>
      </c>
      <c r="F37" s="43"/>
      <c r="G37" s="44" t="s">
        <v>131</v>
      </c>
      <c r="H37" s="45">
        <v>-7.3791850000000006E-2</v>
      </c>
      <c r="I37" s="46">
        <f t="shared" ref="I37" si="19">K37+M37+O37+Q37</f>
        <v>0</v>
      </c>
      <c r="J37" s="46">
        <f t="shared" ref="J37" si="20">L37+N37+P37+R37</f>
        <v>6.6784190000000007E-2</v>
      </c>
      <c r="K37" s="45"/>
      <c r="L37" s="45">
        <f>66784.19/1000000</f>
        <v>6.6784190000000007E-2</v>
      </c>
      <c r="M37" s="45"/>
      <c r="N37" s="45"/>
      <c r="O37" s="45"/>
      <c r="P37" s="45"/>
      <c r="Q37" s="45"/>
      <c r="R37" s="45"/>
      <c r="S37" s="45">
        <f>66784.19/1000000</f>
        <v>6.6784190000000007E-2</v>
      </c>
      <c r="T37" s="45"/>
      <c r="U37" s="45">
        <f>153988.08/1000000</f>
        <v>0.15398808</v>
      </c>
      <c r="V37" s="45"/>
      <c r="W37" s="45">
        <f t="shared" si="18"/>
        <v>-0.14057604000000001</v>
      </c>
      <c r="X37" s="46">
        <f t="shared" si="17"/>
        <v>6.6784190000000007E-2</v>
      </c>
      <c r="Y37" s="47">
        <v>0</v>
      </c>
      <c r="Z37" s="45"/>
      <c r="AA37" s="45"/>
      <c r="AB37" s="105" t="s">
        <v>132</v>
      </c>
      <c r="AC37" s="48"/>
    </row>
    <row r="38" spans="1:29" ht="19.5" x14ac:dyDescent="0.25">
      <c r="A38" s="22"/>
      <c r="B38" s="22"/>
      <c r="C38" s="22"/>
      <c r="D38" s="22"/>
      <c r="E38" s="50"/>
      <c r="F38" s="51">
        <v>4000</v>
      </c>
      <c r="G38" s="52" t="s">
        <v>86</v>
      </c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4"/>
      <c r="AC38" s="30"/>
    </row>
    <row r="39" spans="1:29" ht="32.25" thickBot="1" x14ac:dyDescent="0.3">
      <c r="A39" s="22"/>
      <c r="B39" s="22"/>
      <c r="C39" s="22"/>
      <c r="D39" s="22"/>
      <c r="E39" s="55" t="s">
        <v>87</v>
      </c>
      <c r="F39" s="56">
        <v>3100</v>
      </c>
      <c r="G39" s="57" t="s">
        <v>88</v>
      </c>
      <c r="H39" s="58"/>
      <c r="I39" s="59">
        <v>0</v>
      </c>
      <c r="J39" s="59">
        <v>0</v>
      </c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9">
        <v>0</v>
      </c>
      <c r="Y39" s="60">
        <v>0</v>
      </c>
      <c r="Z39" s="58"/>
      <c r="AA39" s="58"/>
      <c r="AB39" s="61"/>
      <c r="AC39" s="30"/>
    </row>
    <row r="40" spans="1:29" ht="16.5" thickBot="1" x14ac:dyDescent="0.3">
      <c r="A40" s="62"/>
      <c r="B40" s="62"/>
      <c r="C40" s="62"/>
      <c r="D40" s="62"/>
      <c r="E40" s="63"/>
      <c r="F40" s="64">
        <v>5000</v>
      </c>
      <c r="G40" s="65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7"/>
      <c r="AB40" s="68"/>
      <c r="AC40" s="69"/>
    </row>
    <row r="41" spans="1:29" ht="32.25" thickBot="1" x14ac:dyDescent="0.3">
      <c r="A41" s="16"/>
      <c r="B41" s="16"/>
      <c r="C41" s="16"/>
      <c r="D41" s="16"/>
      <c r="E41" s="70" t="s">
        <v>89</v>
      </c>
      <c r="F41" s="71" t="s">
        <v>4</v>
      </c>
      <c r="G41" s="72" t="s">
        <v>90</v>
      </c>
      <c r="H41" s="72" t="s">
        <v>91</v>
      </c>
      <c r="I41" s="72" t="s">
        <v>92</v>
      </c>
      <c r="J41" s="73" t="s">
        <v>93</v>
      </c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5"/>
      <c r="AC41" s="76"/>
    </row>
    <row r="42" spans="1:29" ht="25.5" x14ac:dyDescent="0.25">
      <c r="A42" s="16"/>
      <c r="B42" s="16"/>
      <c r="C42" s="16"/>
      <c r="D42" s="16"/>
      <c r="E42" s="77" t="s">
        <v>94</v>
      </c>
      <c r="F42" s="78">
        <v>55555</v>
      </c>
      <c r="G42" s="79" t="s">
        <v>104</v>
      </c>
      <c r="H42" s="80" t="s">
        <v>105</v>
      </c>
      <c r="I42" s="80" t="s">
        <v>106</v>
      </c>
      <c r="J42" s="81" t="s">
        <v>107</v>
      </c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5"/>
      <c r="AC42" s="76"/>
    </row>
    <row r="43" spans="1:29" ht="39" thickBot="1" x14ac:dyDescent="0.3">
      <c r="A43" s="16"/>
      <c r="B43" s="16"/>
      <c r="C43" s="16"/>
      <c r="D43" s="16"/>
      <c r="E43" s="82" t="s">
        <v>95</v>
      </c>
      <c r="F43" s="83">
        <v>77777</v>
      </c>
      <c r="G43" s="84" t="s">
        <v>108</v>
      </c>
      <c r="H43" s="85" t="s">
        <v>109</v>
      </c>
      <c r="I43" s="85" t="s">
        <v>110</v>
      </c>
      <c r="J43" s="86" t="s">
        <v>111</v>
      </c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5"/>
      <c r="AC43" s="76"/>
    </row>
    <row r="44" spans="1:29" ht="15.75" x14ac:dyDescent="0.25">
      <c r="A44" s="1"/>
      <c r="B44" s="1"/>
      <c r="C44" s="1"/>
      <c r="D44" s="1"/>
      <c r="E44" s="87"/>
      <c r="F44" s="74"/>
      <c r="G44" s="88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5"/>
      <c r="AC44" s="76"/>
    </row>
    <row r="45" spans="1:29" ht="15.75" x14ac:dyDescent="0.25">
      <c r="A45" s="89"/>
      <c r="B45" s="89"/>
      <c r="C45" s="89"/>
      <c r="D45" s="89"/>
      <c r="E45" s="90" t="s">
        <v>96</v>
      </c>
      <c r="F45" s="91"/>
      <c r="G45" s="92"/>
      <c r="H45" s="93"/>
      <c r="I45" s="94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75"/>
      <c r="AC45" s="96"/>
    </row>
    <row r="46" spans="1:29" ht="15.75" x14ac:dyDescent="0.25">
      <c r="A46" s="89"/>
      <c r="B46" s="89"/>
      <c r="C46" s="89"/>
      <c r="D46" s="89"/>
      <c r="E46" s="97" t="s">
        <v>97</v>
      </c>
      <c r="F46" s="91"/>
      <c r="G46" s="92"/>
      <c r="H46" s="98"/>
      <c r="I46" s="98"/>
      <c r="J46" s="98"/>
      <c r="K46" s="98"/>
      <c r="L46" s="98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75"/>
      <c r="AC46" s="96"/>
    </row>
    <row r="47" spans="1:29" ht="15.75" x14ac:dyDescent="0.25">
      <c r="A47" s="89"/>
      <c r="B47" s="89"/>
      <c r="C47" s="89"/>
      <c r="D47" s="89"/>
      <c r="E47" s="99" t="s">
        <v>98</v>
      </c>
      <c r="F47" s="100"/>
      <c r="G47" s="92"/>
      <c r="H47" s="89"/>
      <c r="I47" s="89"/>
      <c r="J47" s="89"/>
      <c r="K47" s="92"/>
      <c r="L47" s="92"/>
      <c r="M47" s="92"/>
      <c r="N47" s="92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75"/>
      <c r="AC47" s="96"/>
    </row>
    <row r="48" spans="1:29" ht="15.75" x14ac:dyDescent="0.25">
      <c r="A48" s="89"/>
      <c r="B48" s="89"/>
      <c r="C48" s="89"/>
      <c r="D48" s="89"/>
      <c r="E48" s="99"/>
      <c r="F48" s="100"/>
      <c r="G48" s="92"/>
      <c r="H48" s="89"/>
      <c r="I48" s="89"/>
      <c r="J48" s="89"/>
      <c r="K48" s="92"/>
      <c r="L48" s="92"/>
      <c r="M48" s="92"/>
      <c r="N48" s="92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75"/>
      <c r="AC48" s="96"/>
    </row>
    <row r="49" spans="1:29" ht="15.75" x14ac:dyDescent="0.25">
      <c r="A49" s="89"/>
      <c r="B49" s="89"/>
      <c r="C49" s="89"/>
      <c r="D49" s="89"/>
      <c r="E49" s="99" t="s">
        <v>99</v>
      </c>
      <c r="F49" s="100"/>
      <c r="G49" s="92"/>
      <c r="H49" s="101"/>
      <c r="I49" s="101"/>
      <c r="J49" s="101"/>
      <c r="K49" s="102"/>
      <c r="L49" s="102"/>
      <c r="M49" s="102"/>
      <c r="N49" s="102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75"/>
      <c r="AC49" s="96"/>
    </row>
  </sheetData>
  <mergeCells count="18">
    <mergeCell ref="AB7:AB9"/>
    <mergeCell ref="I8:J8"/>
    <mergeCell ref="K8:L8"/>
    <mergeCell ref="M8:N8"/>
    <mergeCell ref="O8:P8"/>
    <mergeCell ref="Q8:R8"/>
    <mergeCell ref="X8:X9"/>
    <mergeCell ref="S7:T8"/>
    <mergeCell ref="Y8:Y9"/>
    <mergeCell ref="Z8:AA8"/>
    <mergeCell ref="U7:V8"/>
    <mergeCell ref="W7:W9"/>
    <mergeCell ref="X7:AA7"/>
    <mergeCell ref="E7:E9"/>
    <mergeCell ref="F7:F9"/>
    <mergeCell ref="G7:G9"/>
    <mergeCell ref="H7:H9"/>
    <mergeCell ref="I7:R7"/>
  </mergeCells>
  <pageMargins left="0.70866141732283472" right="0.70866141732283472" top="0.74803149606299213" bottom="0.74803149606299213" header="0.31496062992125984" footer="0.31496062992125984"/>
  <pageSetup paperSize="8" scale="44" orientation="landscape" r:id="rId1"/>
  <ignoredErrors>
    <ignoredError sqref="W14:W15 W20:W21 W29:W30 W31 W34:W37 W22:W23 W32:W33 S37 W24:W25 H31 S25 U37 U25 S24 U24:V24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Гаврилова Анастасия</dc:creator>
  <cp:lastModifiedBy>Гаврилова Анастасия</cp:lastModifiedBy>
  <cp:lastPrinted>2018-10-16T05:38:49Z</cp:lastPrinted>
  <dcterms:created xsi:type="dcterms:W3CDTF">2018-10-10T01:42:50Z</dcterms:created>
  <dcterms:modified xsi:type="dcterms:W3CDTF">2019-10-18T01:09:44Z</dcterms:modified>
</cp:coreProperties>
</file>