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120" tabRatio="892"/>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эфф'!$A:$B</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эфф'!$A$1:$AD$100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K33" i="19"/>
  <c r="J33"/>
  <c r="I33"/>
  <c r="G33"/>
  <c r="K41"/>
  <c r="J41"/>
  <c r="I41"/>
  <c r="G41"/>
  <c r="F55"/>
  <c r="F39"/>
  <c r="F31"/>
  <c r="L57"/>
  <c r="K57"/>
  <c r="J57"/>
  <c r="I57"/>
  <c r="G57"/>
  <c r="AB48"/>
  <c r="C48"/>
  <c r="C26"/>
  <c r="E20"/>
  <c r="F20"/>
  <c r="C20"/>
  <c r="H20" i="13"/>
  <c r="V78" i="18"/>
  <c r="U78"/>
  <c r="T78"/>
  <c r="S78"/>
  <c r="R78"/>
  <c r="Q78"/>
  <c r="P78"/>
  <c r="O78"/>
  <c r="N78"/>
  <c r="M78"/>
  <c r="L78"/>
  <c r="K78"/>
  <c r="J78"/>
  <c r="I78"/>
  <c r="H78"/>
  <c r="G78"/>
  <c r="F78"/>
  <c r="E78"/>
  <c r="D78"/>
  <c r="V75"/>
  <c r="U75"/>
  <c r="T75"/>
  <c r="S75"/>
  <c r="R75"/>
  <c r="Q75"/>
  <c r="P75"/>
  <c r="O75"/>
  <c r="N75"/>
  <c r="M75"/>
  <c r="V70"/>
  <c r="R70"/>
  <c r="C69"/>
  <c r="B69"/>
  <c r="V62"/>
  <c r="U62"/>
  <c r="U70" s="1"/>
  <c r="T62"/>
  <c r="T70" s="1"/>
  <c r="S62"/>
  <c r="S70" s="1"/>
  <c r="R62"/>
  <c r="Q62"/>
  <c r="Q70" s="1"/>
  <c r="P62"/>
  <c r="P70" s="1"/>
  <c r="O62"/>
  <c r="O70" s="1"/>
  <c r="N62"/>
  <c r="N70" s="1"/>
  <c r="M62"/>
  <c r="M70" s="1"/>
  <c r="B51"/>
  <c r="C51" s="1"/>
  <c r="C72" s="1"/>
  <c r="AP22"/>
  <c r="AN19"/>
  <c r="B42"/>
  <c r="C42" s="1"/>
  <c r="D42" s="1"/>
  <c r="E42" s="1"/>
  <c r="F42" s="1"/>
  <c r="G42" s="1"/>
  <c r="H42" s="1"/>
  <c r="I42" s="1"/>
  <c r="J42" s="1"/>
  <c r="K42" s="1"/>
  <c r="L42" s="1"/>
  <c r="M42" s="1"/>
  <c r="N42" s="1"/>
  <c r="O42" s="1"/>
  <c r="V41"/>
  <c r="U41"/>
  <c r="T41"/>
  <c r="S41"/>
  <c r="R41"/>
  <c r="Q41"/>
  <c r="P41"/>
  <c r="O41"/>
  <c r="N41"/>
  <c r="M41"/>
  <c r="L41"/>
  <c r="K41"/>
  <c r="J41"/>
  <c r="I41"/>
  <c r="H41"/>
  <c r="G41"/>
  <c r="F41"/>
  <c r="E41"/>
  <c r="D41"/>
  <c r="C41"/>
  <c r="B41"/>
  <c r="M40"/>
  <c r="N40" s="1"/>
  <c r="O40" s="1"/>
  <c r="P40" s="1"/>
  <c r="Q40" s="1"/>
  <c r="R40" s="1"/>
  <c r="S40" s="1"/>
  <c r="T40" s="1"/>
  <c r="U40" s="1"/>
  <c r="V40" s="1"/>
  <c r="AL18"/>
  <c r="AL17"/>
  <c r="AE17"/>
  <c r="AF17" s="1"/>
  <c r="B59" l="1"/>
  <c r="B61" s="1"/>
  <c r="B72"/>
  <c r="D60"/>
  <c r="E60" s="1"/>
  <c r="F60" s="1"/>
  <c r="G60" s="1"/>
  <c r="H60" s="1"/>
  <c r="I60" s="1"/>
  <c r="J60" s="1"/>
  <c r="K60" s="1"/>
  <c r="L60" s="1"/>
  <c r="M60" s="1"/>
  <c r="N60" s="1"/>
  <c r="O60" s="1"/>
  <c r="P60" s="1"/>
  <c r="Q60" s="1"/>
  <c r="R60" s="1"/>
  <c r="S60" s="1"/>
  <c r="T60" s="1"/>
  <c r="U60" s="1"/>
  <c r="V60" s="1"/>
  <c r="D51"/>
  <c r="D72" s="1"/>
  <c r="C59"/>
  <c r="C61" s="1"/>
  <c r="P42"/>
  <c r="Q42" s="1"/>
  <c r="R42" s="1"/>
  <c r="S42" s="1"/>
  <c r="T42" s="1"/>
  <c r="U42" s="1"/>
  <c r="V42" s="1"/>
  <c r="AG17"/>
  <c r="D52" s="1"/>
  <c r="D58" s="1"/>
  <c r="AF18"/>
  <c r="C63" l="1"/>
  <c r="C64" s="1"/>
  <c r="C68"/>
  <c r="B63"/>
  <c r="B64" s="1"/>
  <c r="B68"/>
  <c r="D59"/>
  <c r="D61" s="1"/>
  <c r="E51"/>
  <c r="E72" s="1"/>
  <c r="AF19"/>
  <c r="AG18"/>
  <c r="E52" s="1"/>
  <c r="E58" s="1"/>
  <c r="C65" l="1"/>
  <c r="C71"/>
  <c r="C76" s="1"/>
  <c r="C79" s="1"/>
  <c r="D63"/>
  <c r="D64" s="1"/>
  <c r="D68"/>
  <c r="B65"/>
  <c r="B71"/>
  <c r="B76" s="1"/>
  <c r="F51"/>
  <c r="F72" s="1"/>
  <c r="E59"/>
  <c r="E61" s="1"/>
  <c r="AF20"/>
  <c r="AG19"/>
  <c r="F52" s="1"/>
  <c r="F58" s="1"/>
  <c r="B79" l="1"/>
  <c r="B77"/>
  <c r="C77" s="1"/>
  <c r="D65"/>
  <c r="D71"/>
  <c r="D76" s="1"/>
  <c r="D79" s="1"/>
  <c r="E63"/>
  <c r="E64" s="1"/>
  <c r="E68"/>
  <c r="G51"/>
  <c r="G72" s="1"/>
  <c r="F59"/>
  <c r="F61" s="1"/>
  <c r="AF21"/>
  <c r="AG20"/>
  <c r="G52" s="1"/>
  <c r="G58" s="1"/>
  <c r="E65" l="1"/>
  <c r="E71"/>
  <c r="E76" s="1"/>
  <c r="B80"/>
  <c r="C80"/>
  <c r="D80"/>
  <c r="D77"/>
  <c r="F63"/>
  <c r="F68"/>
  <c r="F64"/>
  <c r="G59"/>
  <c r="G61" s="1"/>
  <c r="H51"/>
  <c r="H72" s="1"/>
  <c r="AF22"/>
  <c r="AG21"/>
  <c r="H52" s="1"/>
  <c r="H58" s="1"/>
  <c r="E79" l="1"/>
  <c r="F65"/>
  <c r="F71"/>
  <c r="F76" s="1"/>
  <c r="F79" s="1"/>
  <c r="G63"/>
  <c r="G68"/>
  <c r="E77"/>
  <c r="G64"/>
  <c r="G71" s="1"/>
  <c r="H59"/>
  <c r="H61" s="1"/>
  <c r="I51"/>
  <c r="I72" s="1"/>
  <c r="AF23"/>
  <c r="AG22"/>
  <c r="I52" s="1"/>
  <c r="I58" s="1"/>
  <c r="G76" l="1"/>
  <c r="G79" s="1"/>
  <c r="G80" s="1"/>
  <c r="F80"/>
  <c r="E80"/>
  <c r="G65"/>
  <c r="H63"/>
  <c r="H64" s="1"/>
  <c r="H68"/>
  <c r="F77"/>
  <c r="I59"/>
  <c r="I61" s="1"/>
  <c r="J51"/>
  <c r="J72" s="1"/>
  <c r="AF24"/>
  <c r="AG23"/>
  <c r="J52" s="1"/>
  <c r="J58" s="1"/>
  <c r="G77" l="1"/>
  <c r="H77" s="1"/>
  <c r="H65"/>
  <c r="H71"/>
  <c r="H76" s="1"/>
  <c r="I63"/>
  <c r="I64" s="1"/>
  <c r="I68"/>
  <c r="K51"/>
  <c r="K72" s="1"/>
  <c r="J59"/>
  <c r="J61" s="1"/>
  <c r="AF25"/>
  <c r="AG24"/>
  <c r="K52" s="1"/>
  <c r="K58" s="1"/>
  <c r="I65" l="1"/>
  <c r="I71"/>
  <c r="J63"/>
  <c r="J68"/>
  <c r="H79"/>
  <c r="I76"/>
  <c r="I79" s="1"/>
  <c r="L51"/>
  <c r="L72" s="1"/>
  <c r="K59"/>
  <c r="K61" s="1"/>
  <c r="J64"/>
  <c r="AF26"/>
  <c r="AG26" s="1"/>
  <c r="M52" s="1"/>
  <c r="M58" s="1"/>
  <c r="AG25"/>
  <c r="L52" s="1"/>
  <c r="L58" s="1"/>
  <c r="J65" l="1"/>
  <c r="J71"/>
  <c r="J76" s="1"/>
  <c r="H80"/>
  <c r="H81"/>
  <c r="I81"/>
  <c r="I80"/>
  <c r="K63"/>
  <c r="K68"/>
  <c r="I77"/>
  <c r="J77" s="1"/>
  <c r="L59"/>
  <c r="L61" s="1"/>
  <c r="M51"/>
  <c r="M72" s="1"/>
  <c r="K65"/>
  <c r="K64"/>
  <c r="K71" s="1"/>
  <c r="AF27"/>
  <c r="K76" l="1"/>
  <c r="K79" s="1"/>
  <c r="J79"/>
  <c r="L63"/>
  <c r="L68"/>
  <c r="L64"/>
  <c r="M59"/>
  <c r="M61" s="1"/>
  <c r="N51"/>
  <c r="N72" s="1"/>
  <c r="AF28"/>
  <c r="AG27"/>
  <c r="N52" s="1"/>
  <c r="N58" s="1"/>
  <c r="K77" l="1"/>
  <c r="K80"/>
  <c r="K81"/>
  <c r="J80"/>
  <c r="J81"/>
  <c r="L65"/>
  <c r="L71"/>
  <c r="L76" s="1"/>
  <c r="M63"/>
  <c r="M64" s="1"/>
  <c r="M71" s="1"/>
  <c r="M68"/>
  <c r="O51"/>
  <c r="O72" s="1"/>
  <c r="N59"/>
  <c r="N61" s="1"/>
  <c r="AF29"/>
  <c r="AG28"/>
  <c r="O52" s="1"/>
  <c r="O58" s="1"/>
  <c r="L79" l="1"/>
  <c r="L77"/>
  <c r="M65"/>
  <c r="N63"/>
  <c r="N64" s="1"/>
  <c r="N68"/>
  <c r="M76"/>
  <c r="P51"/>
  <c r="P72" s="1"/>
  <c r="O59"/>
  <c r="O61" s="1"/>
  <c r="AF30"/>
  <c r="AG29"/>
  <c r="P52" s="1"/>
  <c r="P58" s="1"/>
  <c r="N65" l="1"/>
  <c r="N71"/>
  <c r="N76" s="1"/>
  <c r="L80"/>
  <c r="L81"/>
  <c r="M79"/>
  <c r="M77"/>
  <c r="M82" s="1"/>
  <c r="O63"/>
  <c r="O65" s="1"/>
  <c r="O68"/>
  <c r="O64"/>
  <c r="O71" s="1"/>
  <c r="P59"/>
  <c r="P61" s="1"/>
  <c r="Q51"/>
  <c r="Q72" s="1"/>
  <c r="AF31"/>
  <c r="AG30"/>
  <c r="Q52" s="1"/>
  <c r="Q58" s="1"/>
  <c r="N79" l="1"/>
  <c r="N81" s="1"/>
  <c r="N77"/>
  <c r="N82" s="1"/>
  <c r="M81"/>
  <c r="M80"/>
  <c r="M83" s="1"/>
  <c r="P63"/>
  <c r="P64" s="1"/>
  <c r="P68"/>
  <c r="O76"/>
  <c r="R51"/>
  <c r="R72" s="1"/>
  <c r="Q59"/>
  <c r="Q61" s="1"/>
  <c r="AF32"/>
  <c r="AG32" s="1"/>
  <c r="S52" s="1"/>
  <c r="S58" s="1"/>
  <c r="AG31"/>
  <c r="R52" s="1"/>
  <c r="R58" s="1"/>
  <c r="N80" l="1"/>
  <c r="N83" s="1"/>
  <c r="Q63"/>
  <c r="Q64" s="1"/>
  <c r="Q68"/>
  <c r="P65"/>
  <c r="P71"/>
  <c r="P76" s="1"/>
  <c r="O79"/>
  <c r="O77"/>
  <c r="O82" s="1"/>
  <c r="S51"/>
  <c r="S72" s="1"/>
  <c r="R59"/>
  <c r="R61" s="1"/>
  <c r="AF33"/>
  <c r="Q65" l="1"/>
  <c r="Q71"/>
  <c r="P79"/>
  <c r="P81" s="1"/>
  <c r="P77"/>
  <c r="P82" s="1"/>
  <c r="R63"/>
  <c r="R68"/>
  <c r="O81"/>
  <c r="O80"/>
  <c r="O83" s="1"/>
  <c r="Q76"/>
  <c r="R64"/>
  <c r="T51"/>
  <c r="T72" s="1"/>
  <c r="S59"/>
  <c r="S61" s="1"/>
  <c r="AF34"/>
  <c r="AG33"/>
  <c r="T52" s="1"/>
  <c r="T58" s="1"/>
  <c r="P80" l="1"/>
  <c r="P83" s="1"/>
  <c r="R65"/>
  <c r="R71"/>
  <c r="R76" s="1"/>
  <c r="S63"/>
  <c r="S68"/>
  <c r="Q79"/>
  <c r="Q77"/>
  <c r="Q82" s="1"/>
  <c r="T59"/>
  <c r="T61" s="1"/>
  <c r="U51"/>
  <c r="U72" s="1"/>
  <c r="S65"/>
  <c r="S64"/>
  <c r="S71" s="1"/>
  <c r="S76" s="1"/>
  <c r="AF35"/>
  <c r="AG35" s="1"/>
  <c r="V52" s="1"/>
  <c r="V58" s="1"/>
  <c r="AG34"/>
  <c r="U52" s="1"/>
  <c r="U58" s="1"/>
  <c r="S79" l="1"/>
  <c r="S77"/>
  <c r="S82" s="1"/>
  <c r="Q81"/>
  <c r="Q80"/>
  <c r="Q83" s="1"/>
  <c r="R80"/>
  <c r="R83" s="1"/>
  <c r="R79"/>
  <c r="R81" s="1"/>
  <c r="R77"/>
  <c r="R82" s="1"/>
  <c r="T63"/>
  <c r="T68"/>
  <c r="T64"/>
  <c r="U59"/>
  <c r="U61" s="1"/>
  <c r="V51"/>
  <c r="S80" l="1"/>
  <c r="S81"/>
  <c r="T65"/>
  <c r="T71"/>
  <c r="T76" s="1"/>
  <c r="S83"/>
  <c r="U63"/>
  <c r="U64" s="1"/>
  <c r="U68"/>
  <c r="V59"/>
  <c r="V61" s="1"/>
  <c r="V72"/>
  <c r="T79" l="1"/>
  <c r="T77"/>
  <c r="T82" s="1"/>
  <c r="U65"/>
  <c r="U71"/>
  <c r="V63"/>
  <c r="V64" s="1"/>
  <c r="V68"/>
  <c r="U76"/>
  <c r="M20" i="13"/>
  <c r="K20"/>
  <c r="G20"/>
  <c r="T81" i="18" l="1"/>
  <c r="T80"/>
  <c r="T83" s="1"/>
  <c r="V65"/>
  <c r="V71"/>
  <c r="V76" s="1"/>
  <c r="U79"/>
  <c r="U81" s="1"/>
  <c r="U77"/>
  <c r="U82" s="1"/>
  <c r="V79" l="1"/>
  <c r="V81" s="1"/>
  <c r="V77"/>
  <c r="V82" s="1"/>
  <c r="U80"/>
  <c r="U83" s="1"/>
  <c r="L48" i="19"/>
  <c r="P26"/>
  <c r="P48" s="1"/>
  <c r="P47" s="1"/>
  <c r="T26"/>
  <c r="T23" s="1"/>
  <c r="X26"/>
  <c r="X23" s="1"/>
  <c r="V80" i="18" l="1"/>
  <c r="F22"/>
  <c r="C22" i="6" l="1"/>
  <c r="C21"/>
  <c r="L26" i="19" l="1"/>
  <c r="F21" l="1"/>
  <c r="F22"/>
  <c r="F24"/>
  <c r="F25"/>
  <c r="F30"/>
  <c r="F32"/>
  <c r="F34"/>
  <c r="F35"/>
  <c r="F36"/>
  <c r="F37"/>
  <c r="F38"/>
  <c r="F40"/>
  <c r="F42"/>
  <c r="F43"/>
  <c r="F44"/>
  <c r="F45"/>
  <c r="F49"/>
  <c r="F51"/>
  <c r="F52"/>
  <c r="F53"/>
  <c r="F54"/>
  <c r="F56"/>
  <c r="F58"/>
  <c r="F59"/>
  <c r="F60"/>
  <c r="A12" i="21" l="1"/>
  <c r="B18" s="1"/>
  <c r="A9"/>
  <c r="A8"/>
  <c r="A1"/>
  <c r="A11" i="20"/>
  <c r="A8"/>
  <c r="A5"/>
  <c r="A1"/>
  <c r="A11" i="19"/>
  <c r="A8"/>
  <c r="A5"/>
  <c r="A1"/>
  <c r="A11" i="16"/>
  <c r="A8"/>
  <c r="A5"/>
  <c r="A1"/>
  <c r="A11" i="18"/>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K50" i="19"/>
  <c r="K47" s="1"/>
  <c r="J50"/>
  <c r="J47" s="1"/>
  <c r="I50"/>
  <c r="G50"/>
  <c r="G47" s="1"/>
  <c r="T48"/>
  <c r="T47" s="1"/>
  <c r="AA47"/>
  <c r="Z47"/>
  <c r="Y47"/>
  <c r="W47"/>
  <c r="V47"/>
  <c r="U47"/>
  <c r="S47"/>
  <c r="R47"/>
  <c r="Q47"/>
  <c r="O47"/>
  <c r="N47"/>
  <c r="M47"/>
  <c r="I47"/>
  <c r="AA26"/>
  <c r="Z26"/>
  <c r="Y26"/>
  <c r="X46"/>
  <c r="X48" s="1"/>
  <c r="X47" s="1"/>
  <c r="W26"/>
  <c r="V26"/>
  <c r="U26"/>
  <c r="S26"/>
  <c r="R26"/>
  <c r="Q26"/>
  <c r="O26"/>
  <c r="N26"/>
  <c r="M26"/>
  <c r="K26"/>
  <c r="J26"/>
  <c r="I26"/>
  <c r="G26"/>
  <c r="AA20"/>
  <c r="Z20"/>
  <c r="Y20"/>
  <c r="X20"/>
  <c r="W20"/>
  <c r="V20"/>
  <c r="U20"/>
  <c r="S20"/>
  <c r="R20"/>
  <c r="Q20"/>
  <c r="P20"/>
  <c r="O20"/>
  <c r="N20"/>
  <c r="M20"/>
  <c r="L20"/>
  <c r="K20"/>
  <c r="J20"/>
  <c r="I20"/>
  <c r="G20"/>
  <c r="B100" i="18"/>
  <c r="I96"/>
  <c r="H96"/>
  <c r="G96"/>
  <c r="F96"/>
  <c r="E96"/>
  <c r="D96"/>
  <c r="C96"/>
  <c r="A94"/>
  <c r="P92"/>
  <c r="O92"/>
  <c r="N92"/>
  <c r="M92"/>
  <c r="L92"/>
  <c r="K92"/>
  <c r="J92"/>
  <c r="I92"/>
  <c r="H92"/>
  <c r="G92"/>
  <c r="F92"/>
  <c r="E92"/>
  <c r="D92"/>
  <c r="C92"/>
  <c r="B92"/>
  <c r="C95" s="1"/>
  <c r="I86"/>
  <c r="H86"/>
  <c r="G86"/>
  <c r="F86"/>
  <c r="E86"/>
  <c r="D86"/>
  <c r="C86"/>
  <c r="AD60"/>
  <c r="AD69" s="1"/>
  <c r="AC60"/>
  <c r="AC69" s="1"/>
  <c r="AB60"/>
  <c r="AB69" s="1"/>
  <c r="AA60"/>
  <c r="AA69" s="1"/>
  <c r="Z60"/>
  <c r="Z69" s="1"/>
  <c r="Y60"/>
  <c r="Y69" s="1"/>
  <c r="X60"/>
  <c r="X69" s="1"/>
  <c r="W60"/>
  <c r="W69" s="1"/>
  <c r="A54"/>
  <c r="L44"/>
  <c r="L50" s="1"/>
  <c r="L67" s="1"/>
  <c r="K44"/>
  <c r="K50" s="1"/>
  <c r="K67" s="1"/>
  <c r="J44"/>
  <c r="J50" s="1"/>
  <c r="J67" s="1"/>
  <c r="I44"/>
  <c r="I50" s="1"/>
  <c r="I67" s="1"/>
  <c r="H44"/>
  <c r="H50" s="1"/>
  <c r="H67" s="1"/>
  <c r="H82" s="1"/>
  <c r="F20" s="1"/>
  <c r="D100" s="1"/>
  <c r="G44"/>
  <c r="G50" s="1"/>
  <c r="G67" s="1"/>
  <c r="F44"/>
  <c r="F50" s="1"/>
  <c r="F67" s="1"/>
  <c r="E44"/>
  <c r="E50" s="1"/>
  <c r="E67" s="1"/>
  <c r="D44"/>
  <c r="D50" s="1"/>
  <c r="D67" s="1"/>
  <c r="C44"/>
  <c r="C50" s="1"/>
  <c r="C67" s="1"/>
  <c r="B44"/>
  <c r="B50" s="1"/>
  <c r="B67" s="1"/>
  <c r="M39"/>
  <c r="M44" s="1"/>
  <c r="M50" s="1"/>
  <c r="M67" s="1"/>
  <c r="T20" i="19" l="1"/>
  <c r="N39" i="18"/>
  <c r="W40"/>
  <c r="X40" s="1"/>
  <c r="Y40" s="1"/>
  <c r="Z40" s="1"/>
  <c r="AA40" s="1"/>
  <c r="AB40" s="1"/>
  <c r="AC40" s="1"/>
  <c r="AD40" s="1"/>
  <c r="D95"/>
  <c r="B96"/>
  <c r="A91"/>
  <c r="A96" s="1"/>
  <c r="C93"/>
  <c r="D93" s="1"/>
  <c r="E93" s="1"/>
  <c r="F93" s="1"/>
  <c r="G93" s="1"/>
  <c r="H93" s="1"/>
  <c r="I93" s="1"/>
  <c r="J93" s="1"/>
  <c r="K93" s="1"/>
  <c r="L93" s="1"/>
  <c r="M93" s="1"/>
  <c r="N93" s="1"/>
  <c r="O93" s="1"/>
  <c r="P93" s="1"/>
  <c r="Q93" s="1"/>
  <c r="R93" s="1"/>
  <c r="S93" s="1"/>
  <c r="T93" s="1"/>
  <c r="U93" s="1"/>
  <c r="V93" s="1"/>
  <c r="W93" s="1"/>
  <c r="X93" s="1"/>
  <c r="Y93" s="1"/>
  <c r="Z93" s="1"/>
  <c r="AA93" s="1"/>
  <c r="AB93" s="1"/>
  <c r="AC93" s="1"/>
  <c r="AD93" s="1"/>
  <c r="W41" l="1"/>
  <c r="X41" s="1"/>
  <c r="Y41" s="1"/>
  <c r="Z41" s="1"/>
  <c r="AA41" s="1"/>
  <c r="AB41" s="1"/>
  <c r="AC41" s="1"/>
  <c r="AD41" s="1"/>
  <c r="E95"/>
  <c r="F95" s="1"/>
  <c r="G95" s="1"/>
  <c r="H95" s="1"/>
  <c r="I95" s="1"/>
  <c r="J95" s="1"/>
  <c r="K95" s="1"/>
  <c r="L95" s="1"/>
  <c r="M95" s="1"/>
  <c r="N95" s="1"/>
  <c r="O95" s="1"/>
  <c r="P95" s="1"/>
  <c r="Q95" s="1"/>
  <c r="R95" s="1"/>
  <c r="S95" s="1"/>
  <c r="T95" s="1"/>
  <c r="U95" s="1"/>
  <c r="V95" s="1"/>
  <c r="W95" s="1"/>
  <c r="X95" s="1"/>
  <c r="Y95" s="1"/>
  <c r="Z95" s="1"/>
  <c r="AA95" s="1"/>
  <c r="AB95" s="1"/>
  <c r="AC95" s="1"/>
  <c r="AD95" s="1"/>
  <c r="N44"/>
  <c r="N50" s="1"/>
  <c r="N67" s="1"/>
  <c r="O39"/>
  <c r="A95" l="1"/>
  <c r="O44"/>
  <c r="O50" s="1"/>
  <c r="O67" s="1"/>
  <c r="P39"/>
  <c r="P44" l="1"/>
  <c r="P50" s="1"/>
  <c r="P67" s="1"/>
  <c r="Q39"/>
  <c r="Q44" l="1"/>
  <c r="Q50" s="1"/>
  <c r="Q67" s="1"/>
  <c r="R39"/>
  <c r="R44" l="1"/>
  <c r="R50" s="1"/>
  <c r="R67" s="1"/>
  <c r="S39"/>
  <c r="S44" l="1"/>
  <c r="S50" s="1"/>
  <c r="S67" s="1"/>
  <c r="T39"/>
  <c r="T44" l="1"/>
  <c r="T50" s="1"/>
  <c r="T67" s="1"/>
  <c r="U39"/>
  <c r="U44" l="1"/>
  <c r="U50" s="1"/>
  <c r="U67" s="1"/>
  <c r="V39"/>
  <c r="W53" l="1"/>
  <c r="W52" s="1"/>
  <c r="W42"/>
  <c r="V44"/>
  <c r="V50" s="1"/>
  <c r="V67" s="1"/>
  <c r="V83" s="1"/>
  <c r="F21" s="1"/>
  <c r="E100" s="1"/>
  <c r="W39"/>
  <c r="W44" l="1"/>
  <c r="W50" s="1"/>
  <c r="W67" s="1"/>
  <c r="W78" s="1"/>
  <c r="X39"/>
  <c r="X53"/>
  <c r="X52" s="1"/>
  <c r="X42"/>
  <c r="W51"/>
  <c r="W72" l="1"/>
  <c r="W73"/>
  <c r="W59"/>
  <c r="W61" s="1"/>
  <c r="X51"/>
  <c r="Y53"/>
  <c r="Y52" s="1"/>
  <c r="Y42"/>
  <c r="X44"/>
  <c r="X50" s="1"/>
  <c r="X67" s="1"/>
  <c r="X78" s="1"/>
  <c r="Y39"/>
  <c r="X72" l="1"/>
  <c r="W68"/>
  <c r="W76" s="1"/>
  <c r="Y44"/>
  <c r="Y50" s="1"/>
  <c r="Y67" s="1"/>
  <c r="Y78" s="1"/>
  <c r="Z39"/>
  <c r="Z53"/>
  <c r="Z52" s="1"/>
  <c r="Z42"/>
  <c r="Y51"/>
  <c r="Y72" s="1"/>
  <c r="X73"/>
  <c r="X59"/>
  <c r="X61" s="1"/>
  <c r="W79" l="1"/>
  <c r="AD77"/>
  <c r="AD82" s="1"/>
  <c r="AC77"/>
  <c r="X77"/>
  <c r="AA77"/>
  <c r="AA81"/>
  <c r="X81"/>
  <c r="W77"/>
  <c r="W82" s="1"/>
  <c r="AB81"/>
  <c r="G22" s="1"/>
  <c r="AB77"/>
  <c r="AB82" s="1"/>
  <c r="Y81"/>
  <c r="Z77"/>
  <c r="W81"/>
  <c r="Z81"/>
  <c r="AC81"/>
  <c r="AD81"/>
  <c r="C100" s="1"/>
  <c r="Y77"/>
  <c r="Y82" s="1"/>
  <c r="X68"/>
  <c r="X76" s="1"/>
  <c r="X79" s="1"/>
  <c r="Y73"/>
  <c r="Y59"/>
  <c r="Y61" s="1"/>
  <c r="Z51"/>
  <c r="Z72" s="1"/>
  <c r="AA53"/>
  <c r="AA52" s="1"/>
  <c r="AA42"/>
  <c r="Z44"/>
  <c r="Z50" s="1"/>
  <c r="Z67" s="1"/>
  <c r="Z78" s="1"/>
  <c r="AA39"/>
  <c r="W45"/>
  <c r="AA82" l="1"/>
  <c r="W80"/>
  <c r="W83" s="1"/>
  <c r="AA80"/>
  <c r="Y80"/>
  <c r="AC80"/>
  <c r="AB80"/>
  <c r="AB83" s="1"/>
  <c r="AD80"/>
  <c r="X80"/>
  <c r="Z80"/>
  <c r="AC82"/>
  <c r="Z82"/>
  <c r="X82"/>
  <c r="Y68"/>
  <c r="Y76" s="1"/>
  <c r="Y79" s="1"/>
  <c r="W47"/>
  <c r="X45" s="1"/>
  <c r="AA44"/>
  <c r="AA50" s="1"/>
  <c r="AA67" s="1"/>
  <c r="AA78" s="1"/>
  <c r="AB39"/>
  <c r="AB53"/>
  <c r="AB52" s="1"/>
  <c r="AB42"/>
  <c r="AA51"/>
  <c r="AA72" s="1"/>
  <c r="Z73"/>
  <c r="Z59"/>
  <c r="Z61" s="1"/>
  <c r="AD83" l="1"/>
  <c r="AA83"/>
  <c r="X83"/>
  <c r="Z83"/>
  <c r="Y83"/>
  <c r="AC83"/>
  <c r="X47"/>
  <c r="Z68"/>
  <c r="Z76" s="1"/>
  <c r="Z79" s="1"/>
  <c r="AA73"/>
  <c r="AA59"/>
  <c r="AA61" s="1"/>
  <c r="AB51"/>
  <c r="AB72" s="1"/>
  <c r="AC53"/>
  <c r="AC52" s="1"/>
  <c r="AC42"/>
  <c r="AB44"/>
  <c r="AB50" s="1"/>
  <c r="AB67" s="1"/>
  <c r="AB78" s="1"/>
  <c r="AC39"/>
  <c r="W75"/>
  <c r="W48"/>
  <c r="W62" s="1"/>
  <c r="AA68" l="1"/>
  <c r="AA76" s="1"/>
  <c r="AA79" s="1"/>
  <c r="X75"/>
  <c r="X48"/>
  <c r="X62" s="1"/>
  <c r="W70"/>
  <c r="W63"/>
  <c r="AC44"/>
  <c r="AC50" s="1"/>
  <c r="AC67" s="1"/>
  <c r="AC78" s="1"/>
  <c r="AD39"/>
  <c r="AD44" s="1"/>
  <c r="AD50" s="1"/>
  <c r="AD67" s="1"/>
  <c r="AD78" s="1"/>
  <c r="AD53"/>
  <c r="AD52" s="1"/>
  <c r="AD42"/>
  <c r="AD51" s="1"/>
  <c r="AC51"/>
  <c r="AC72" s="1"/>
  <c r="AB73"/>
  <c r="AB59"/>
  <c r="AB61" s="1"/>
  <c r="Y45"/>
  <c r="AD72" l="1"/>
  <c r="Y47"/>
  <c r="Z45" s="1"/>
  <c r="AD73"/>
  <c r="AD59"/>
  <c r="AD61" s="1"/>
  <c r="W64"/>
  <c r="X70"/>
  <c r="X63"/>
  <c r="AB68"/>
  <c r="AB76" s="1"/>
  <c r="AB79" s="1"/>
  <c r="AC73"/>
  <c r="AC59"/>
  <c r="AC61" s="1"/>
  <c r="W65" l="1"/>
  <c r="W71"/>
  <c r="X71" s="1"/>
  <c r="Y71" s="1"/>
  <c r="Z71" s="1"/>
  <c r="AA71" s="1"/>
  <c r="AB71" s="1"/>
  <c r="AC71" s="1"/>
  <c r="AD71" s="1"/>
  <c r="Z47"/>
  <c r="AC68"/>
  <c r="AC76" s="1"/>
  <c r="AC79" s="1"/>
  <c r="X64"/>
  <c r="X65" s="1"/>
  <c r="AD68"/>
  <c r="AD76" s="1"/>
  <c r="AD79" s="1"/>
  <c r="Y75"/>
  <c r="Y48"/>
  <c r="Y62" s="1"/>
  <c r="Y70" l="1"/>
  <c r="Y63"/>
  <c r="Z75"/>
  <c r="Z48"/>
  <c r="Z62" s="1"/>
  <c r="AA45"/>
  <c r="Z70" l="1"/>
  <c r="Z63"/>
  <c r="Y64"/>
  <c r="Y65" s="1"/>
  <c r="AA47"/>
  <c r="AB45" s="1"/>
  <c r="AB47" l="1"/>
  <c r="Z64"/>
  <c r="Z65" s="1"/>
  <c r="AA75"/>
  <c r="AA48"/>
  <c r="AA62" s="1"/>
  <c r="AA70" l="1"/>
  <c r="AA63"/>
  <c r="AB75"/>
  <c r="AB48"/>
  <c r="AB62" s="1"/>
  <c r="AC45"/>
  <c r="AB70" l="1"/>
  <c r="AB63"/>
  <c r="AA64"/>
  <c r="AA65" s="1"/>
  <c r="AC47"/>
  <c r="AD45" s="1"/>
  <c r="AD47" s="1"/>
  <c r="AD75" l="1"/>
  <c r="AD48"/>
  <c r="AD62" s="1"/>
  <c r="AB64"/>
  <c r="AB65" s="1"/>
  <c r="AC75"/>
  <c r="AC48"/>
  <c r="AC62" s="1"/>
  <c r="AC70" l="1"/>
  <c r="AC63"/>
  <c r="AD70"/>
  <c r="AD63"/>
  <c r="AC64" l="1"/>
  <c r="AC65" s="1"/>
  <c r="AD64"/>
  <c r="AD65" s="1"/>
</calcChain>
</file>

<file path=xl/sharedStrings.xml><?xml version="1.0" encoding="utf-8"?>
<sst xmlns="http://schemas.openxmlformats.org/spreadsheetml/2006/main" count="3601" uniqueCount="586">
  <si>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</si>
  <si>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</si>
  <si>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</si>
  <si>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</si>
  <si>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</si>
  <si>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</si>
  <si>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</si>
  <si>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</si>
  <si>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</si>
  <si>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</si>
  <si>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</si>
  <si>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</si>
  <si>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</si>
  <si>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</si>
  <si>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</si>
  <si>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</si>
  <si>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</si>
  <si>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</si>
  <si>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</si>
  <si>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</si>
  <si>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</si>
  <si>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</si>
  <si>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</si>
  <si>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</si>
  <si>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</si>
  <si>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</si>
  <si>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</si>
  <si>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</si>
  <si>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</si>
  <si>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</si>
  <si>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</si>
  <si>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</si>
  <si>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</si>
  <si>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</si>
  <si>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</si>
  <si>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</si>
  <si>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</si>
  <si>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</si>
  <si>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</si>
  <si>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</si>
  <si>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</si>
  <si>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</si>
  <si>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</si>
  <si>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</si>
  <si>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</si>
  <si>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</si>
  <si>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</si>
  <si>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</si>
  <si>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</si>
  <si>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</si>
  <si>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</si>
  <si>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</si>
  <si>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</si>
  <si>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</si>
  <si>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</si>
  <si>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</si>
  <si>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</si>
  <si>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</si>
  <si>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</si>
  <si>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</si>
  <si>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</si>
  <si>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</si>
  <si>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</si>
  <si>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</si>
  <si>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</si>
  <si>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</si>
  <si>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</si>
  <si>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</si>
  <si>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</si>
  <si>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</si>
  <si>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</si>
  <si>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</si>
  <si>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</si>
  <si>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</si>
  <si>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</si>
  <si>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</si>
  <si>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</si>
  <si>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</si>
  <si>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</si>
  <si>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</si>
  <si>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</si>
  <si>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</si>
  <si>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</si>
  <si>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</si>
  <si>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</si>
  <si>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</si>
  <si>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</si>
  <si>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</si>
  <si>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</si>
  <si>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</si>
  <si>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</si>
  <si>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</si>
  <si>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</si>
  <si>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</si>
  <si>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</si>
  <si>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</si>
  <si>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</si>
  <si>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</si>
  <si>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</si>
  <si>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</si>
  <si>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</si>
  <si>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</si>
  <si>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</si>
  <si>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</si>
  <si>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</si>
  <si>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</si>
  <si>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</si>
  <si>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</si>
  <si>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</si>
  <si>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</si>
  <si>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</si>
  <si>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</si>
  <si>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</si>
  <si>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</si>
  <si>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</si>
  <si>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</si>
  <si>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</si>
  <si>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</si>
  <si>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</si>
  <si>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</si>
  <si>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</si>
  <si>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</si>
  <si>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</si>
  <si>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</si>
  <si>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</si>
  <si>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</si>
  <si>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</si>
  <si>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</si>
  <si>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</si>
  <si>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</si>
  <si>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</si>
  <si>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</si>
  <si>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</si>
  <si>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</si>
  <si>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</si>
  <si>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</si>
  <si>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</si>
  <si>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</si>
  <si>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</si>
  <si>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</si>
  <si>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</si>
  <si>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</si>
  <si>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</si>
  <si>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</si>
  <si>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</si>
  <si>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</si>
  <si>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</si>
  <si>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</si>
  <si>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</si>
  <si>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</si>
  <si>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</si>
  <si>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</si>
  <si>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</si>
  <si>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</si>
  <si>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</si>
  <si>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</si>
  <si>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</si>
  <si>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</si>
  <si>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</si>
  <si>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</si>
  <si>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</si>
  <si>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</si>
  <si>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</si>
  <si>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</si>
  <si>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</si>
  <si>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</si>
  <si>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</si>
  <si>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</si>
  <si>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</si>
  <si>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</si>
  <si>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</si>
  <si>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</si>
  <si>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</si>
  <si>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</si>
  <si>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</si>
  <si>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</si>
  <si>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</si>
  <si>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</si>
  <si>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</si>
  <si>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</si>
  <si>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</si>
  <si>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</si>
  <si>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</si>
  <si>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</si>
  <si>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</si>
  <si>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</si>
  <si>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</si>
  <si>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</si>
  <si>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</si>
  <si>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</si>
  <si>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</si>
  <si>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</si>
  <si>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</si>
  <si>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</si>
  <si>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</si>
  <si>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</si>
  <si>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</si>
  <si>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</si>
  <si>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</si>
  <si>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</si>
  <si>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</si>
  <si>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</si>
  <si>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</si>
  <si>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</si>
  <si>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</si>
  <si>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</si>
  <si>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</si>
  <si>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</si>
  <si>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</si>
  <si>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</si>
  <si>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</si>
  <si>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</si>
  <si>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</si>
  <si>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</si>
  <si>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</si>
  <si>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</si>
  <si>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</si>
  <si>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</si>
  <si>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</si>
  <si>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</si>
  <si>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</si>
  <si>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</si>
  <si>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</si>
  <si>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</si>
  <si>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</si>
  <si>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</si>
  <si>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</si>
  <si>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</si>
  <si>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</si>
  <si>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</si>
  <si>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</si>
  <si>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</si>
  <si>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</si>
  <si>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</si>
  <si>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</si>
  <si>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</si>
  <si>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</si>
  <si>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</si>
  <si>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</si>
  <si>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</si>
  <si>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</si>
  <si>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</si>
  <si>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</si>
  <si>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</si>
  <si>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</si>
  <si>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</si>
  <si>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</si>
  <si>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</si>
  <si>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</si>
  <si>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</si>
  <si>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</si>
  <si>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</si>
  <si>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</si>
  <si>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</si>
  <si>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</si>
  <si>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</si>
  <si>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</si>
  <si>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</si>
  <si>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</si>
  <si>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</si>
  <si>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</si>
  <si>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</si>
  <si>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</si>
  <si>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</si>
  <si>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</si>
  <si>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</si>
  <si>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</si>
  <si>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</si>
  <si>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</si>
  <si>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</si>
  <si>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</si>
  <si>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</si>
  <si>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</si>
  <si>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</si>
  <si>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</si>
  <si>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</si>
  <si>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</si>
  <si>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</si>
  <si>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</si>
  <si>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</si>
  <si>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</si>
  <si>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</si>
  <si>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</si>
  <si>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</si>
  <si>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</si>
  <si>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</si>
  <si>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</si>
  <si>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</si>
  <si>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</si>
  <si>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</si>
  <si>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</si>
  <si>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</si>
  <si>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</si>
  <si>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</si>
  <si>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</si>
  <si>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</si>
  <si>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</si>
  <si>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</si>
  <si>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</si>
  <si>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</si>
  <si>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</si>
  <si>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</si>
  <si>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</si>
  <si>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</si>
  <si>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</si>
  <si>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</si>
  <si>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</si>
  <si>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</si>
  <si>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&lt;*&gt;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реконструированных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&lt;**&gt;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</si>
  <si>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</si>
  <si>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</si>
  <si>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</si>
  <si>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</si>
  <si>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</si>
  <si>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</si>
  <si>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</si>
  <si>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</si>
  <si>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</si>
  <si>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</si>
  <si>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</si>
  <si>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</si>
  <si>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</si>
  <si>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</si>
  <si>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</si>
  <si>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</si>
  <si>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</si>
  <si>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</si>
  <si>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</si>
  <si>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</si>
  <si>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</si>
  <si>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</si>
  <si>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</si>
  <si>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</si>
  <si>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</si>
  <si>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</si>
  <si>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</si>
  <si>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</si>
  <si>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</si>
  <si>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</si>
  <si>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</si>
  <si>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</si>
  <si>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</si>
  <si>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</si>
  <si>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</si>
  <si>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</si>
  <si>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</si>
  <si>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</si>
  <si>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</si>
  <si>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</si>
  <si>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</si>
  <si>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</si>
  <si>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</si>
  <si>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</si>
  <si>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</si>
  <si>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</si>
  <si>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</si>
  <si>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</si>
  <si>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</si>
  <si>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</si>
  <si>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</si>
  <si>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</si>
  <si>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</si>
  <si>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</si>
  <si>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</si>
  <si>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</si>
  <si>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</si>
  <si>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</si>
  <si>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</si>
  <si>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</si>
  <si>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</si>
  <si>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</si>
  <si>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</si>
  <si>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</si>
  <si>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</si>
  <si>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</si>
  <si>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</si>
  <si>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</si>
  <si>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</si>
  <si>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</si>
  <si>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</si>
  <si>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</si>
  <si>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</si>
  <si>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</si>
  <si>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</si>
  <si>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</si>
  <si>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</si>
  <si>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</si>
  <si>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</si>
  <si>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</si>
  <si>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</si>
  <si>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</si>
  <si>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</si>
  <si>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</si>
  <si>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</si>
  <si>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</si>
  <si>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</si>
  <si>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</si>
  <si>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</si>
  <si>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</si>
  <si>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</si>
  <si>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</si>
  <si>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</si>
  <si>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</si>
  <si>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</si>
  <si>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</si>
  <si>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</si>
  <si>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</si>
  <si>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</si>
  <si>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</si>
  <si>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</si>
  <si>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</si>
  <si>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</si>
  <si>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</si>
  <si>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</si>
  <si>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</si>
  <si>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</si>
  <si>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</si>
  <si>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</si>
  <si>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</si>
  <si>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</si>
  <si>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</si>
  <si>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</si>
  <si>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</si>
  <si>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</si>
  <si>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</si>
  <si>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</si>
  <si>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</si>
  <si>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</si>
  <si>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</si>
  <si>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</si>
  <si>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</si>
  <si>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</si>
  <si>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</si>
  <si>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</si>
  <si>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</si>
  <si>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</si>
  <si>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</si>
  <si>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</si>
  <si>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</si>
  <si>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</si>
  <si>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</si>
  <si>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</si>
  <si>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</si>
  <si>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</si>
  <si>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</si>
  <si>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</si>
  <si>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</si>
  <si>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</si>
  <si>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</si>
  <si>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</si>
  <si>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</si>
  <si>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</si>
  <si>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</si>
  <si>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</si>
  <si>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</si>
  <si>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</si>
  <si>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</si>
  <si>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</si>
  <si>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</si>
  <si>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</si>
  <si>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</si>
  <si>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</si>
  <si>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</si>
  <si>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</si>
  <si>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</si>
  <si>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</si>
  <si>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</si>
  <si>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</si>
  <si>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</si>
  <si>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</si>
  <si>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</si>
  <si>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</si>
  <si>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</si>
  <si>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</si>
  <si>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</si>
  <si>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</si>
  <si>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</si>
  <si>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</si>
  <si>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</si>
  <si>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</si>
  <si>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</si>
  <si>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</si>
  <si>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</si>
  <si>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</si>
  <si>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</si>
  <si>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</si>
  <si>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</si>
  <si>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</si>
  <si>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</si>
  <si>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</si>
  <si>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</si>
  <si>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</si>
  <si>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</si>
  <si>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</si>
  <si>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</si>
  <si>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</si>
  <si>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</si>
  <si>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</si>
  <si>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</si>
  <si>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</si>
  <si>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</si>
  <si>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</si>
  <si>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</si>
  <si>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</si>
  <si>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</si>
  <si>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</si>
  <si>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</si>
  <si>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</si>
  <si>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</si>
  <si>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</si>
  <si>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</si>
  <si>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</si>
  <si>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</si>
  <si>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</si>
  <si>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</si>
  <si>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</si>
  <si>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</si>
  <si>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</si>
  <si>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</si>
  <si>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</si>
  <si>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</si>
  <si>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</si>
  <si>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</si>
  <si>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</si>
  <si>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</si>
  <si>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</si>
  <si>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</si>
  <si>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</si>
  <si>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</si>
  <si>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</si>
  <si>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</si>
  <si>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</si>
  <si>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</si>
  <si>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</si>
  <si>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</si>
  <si>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</si>
  <si>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</si>
  <si>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</si>
  <si>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</si>
  <si>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</si>
  <si>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</si>
  <si>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</si>
  <si>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</si>
  <si>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</si>
  <si>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</si>
  <si>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</si>
  <si>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</si>
  <si>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</si>
  <si>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</si>
  <si>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Хабаровский край</t>
  </si>
  <si>
    <t>г. Хабаровск</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</si>
  <si>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</si>
  <si>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</si>
  <si>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</si>
  <si>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Хабаровская дистанция электроснабжения - структурное подразделение Дальневосточной дирекции по энергообеспечению</t>
  </si>
  <si>
    <t>П2</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</si>
  <si>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</si>
  <si>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</si>
  <si>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</si>
  <si>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</si>
  <si>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</si>
  <si>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</si>
  <si>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аморт</t>
  </si>
  <si>
    <t>на на имущ</t>
  </si>
  <si>
    <t>доходы в год</t>
  </si>
  <si>
    <t>расходы вгод</t>
  </si>
  <si>
    <t xml:space="preserve">NPV через 20  лет, руб.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</si>
  <si>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</si>
  <si>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Хабаровский край, г. Хабаровск</t>
  </si>
  <si>
    <t>ТП-6/0,4 кВ, в/в ячейки, ТМ-400 кВА</t>
  </si>
  <si>
    <t xml:space="preserve">Техническое перевооружение объекта "Оборудование кТП-15" ТП-15. </t>
  </si>
  <si>
    <t>J_ДВОСТ-149</t>
  </si>
  <si>
    <t>ТП-15</t>
  </si>
  <si>
    <t>Акт осмотра б/н от 10.10.2018г. Хабаровская дистанция электроснабжения</t>
  </si>
  <si>
    <t>Замена на модульную КТП с ТМГ-630</t>
  </si>
  <si>
    <t>Техническое перевооружение  ТП с заменой на модульную КТП с ТМГ-630.</t>
  </si>
  <si>
    <t>Трансформаторная подстанция, силовой трансформатор ТМ-400/6, РУ-6 кВ, РУ-0,4 кВ</t>
  </si>
  <si>
    <t>КТП-15</t>
  </si>
  <si>
    <t>КТП-6/0,4 кВ, в/в ячейки, ТМ-630 кВА</t>
  </si>
  <si>
    <t xml:space="preserve"> по состоянию на 01.01.2019</t>
  </si>
  <si>
    <t>по состоянию на 01.01.2020</t>
  </si>
  <si>
    <t xml:space="preserve">План 2019 года </t>
  </si>
  <si>
    <t>0,63 МВ×А</t>
  </si>
  <si>
    <t>2022</t>
  </si>
  <si>
    <t xml:space="preserve">2. Замещение (обновление) электрической сети. </t>
  </si>
  <si>
    <t>Год раскрытия информации: 2019 год</t>
  </si>
</sst>
</file>

<file path=xl/styles.xml><?xml version="1.0" encoding="utf-8"?>
<styleSheet xmlns="http://schemas.openxmlformats.org/spreadsheetml/2006/main">
  <numFmts count="18">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_(* #,##0_);_(* \(#,##0\);_(* &quot;-&quot;_);_(@_)"/>
    <numFmt numFmtId="173" formatCode="#,##0.0"/>
    <numFmt numFmtId="174" formatCode="#,##0.000"/>
    <numFmt numFmtId="175" formatCode="_(* #,##0.00_);_(* \(#,##0.00\);_(* &quot;-&quot;_);_(@_)"/>
    <numFmt numFmtId="176" formatCode="0.000"/>
    <numFmt numFmtId="177" formatCode="0.0000000"/>
    <numFmt numFmtId="178" formatCode="_-* #,##0\ _₽_-;\-* #,##0\ _₽_-;_-* &quot;-&quot;??\ _₽_-;_-@_-"/>
    <numFmt numFmtId="179" formatCode="#,##0.0000"/>
    <numFmt numFmtId="180" formatCode="_(* #,##0.0000_);_(* \(#,##0.0000\);_(* &quot;-&quot;_);_(@_)"/>
  </numFmts>
  <fonts count="108">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8">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42" fillId="0" borderId="0"/>
    <xf numFmtId="0" fontId="11" fillId="0" borderId="0"/>
    <xf numFmtId="0" fontId="55" fillId="0" borderId="0"/>
    <xf numFmtId="0" fontId="11" fillId="0" borderId="0"/>
    <xf numFmtId="43" fontId="1" fillId="0" borderId="0" applyFont="0" applyFill="0" applyBorder="0" applyAlignment="0" applyProtection="0"/>
  </cellStyleXfs>
  <cellXfs count="53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8" fillId="0" borderId="0" xfId="932" applyFont="1" applyFill="1" applyAlignment="1">
      <alignment vertical="center"/>
    </xf>
    <xf numFmtId="0" fontId="78" fillId="0" borderId="0" xfId="932" applyFont="1" applyFill="1" applyAlignment="1">
      <alignment horizontal="center" vertical="center"/>
    </xf>
    <xf numFmtId="0" fontId="79" fillId="0" borderId="0" xfId="932" applyFont="1" applyFill="1" applyAlignment="1">
      <alignment horizontal="left" vertical="center"/>
    </xf>
    <xf numFmtId="0" fontId="80" fillId="0" borderId="0" xfId="932" applyFont="1" applyFill="1" applyAlignment="1">
      <alignment vertical="center"/>
    </xf>
    <xf numFmtId="0" fontId="81" fillId="0" borderId="0" xfId="932" applyFont="1" applyFill="1" applyAlignment="1">
      <alignment vertical="center"/>
    </xf>
    <xf numFmtId="0" fontId="81" fillId="0" borderId="0" xfId="933" applyFont="1" applyFill="1" applyAlignment="1">
      <alignment vertical="center"/>
    </xf>
    <xf numFmtId="0" fontId="81" fillId="0" borderId="0" xfId="2" applyFont="1" applyFill="1" applyAlignment="1">
      <alignment horizontal="right" vertical="center"/>
    </xf>
    <xf numFmtId="0" fontId="11" fillId="0" borderId="37" xfId="932" applyFont="1" applyFill="1" applyBorder="1" applyAlignment="1">
      <alignment vertical="center" wrapText="1"/>
    </xf>
    <xf numFmtId="3" fontId="82" fillId="0" borderId="38" xfId="2" applyNumberFormat="1" applyFont="1" applyFill="1" applyBorder="1" applyAlignment="1">
      <alignment horizontal="center" vertical="center"/>
    </xf>
    <xf numFmtId="0" fontId="41" fillId="0" borderId="0" xfId="2" applyFont="1" applyFill="1" applyAlignment="1">
      <alignment horizontal="right"/>
    </xf>
    <xf numFmtId="0" fontId="11" fillId="0" borderId="39" xfId="932" applyFont="1" applyFill="1" applyBorder="1" applyAlignment="1">
      <alignment vertical="center" wrapText="1"/>
    </xf>
    <xf numFmtId="3" fontId="82" fillId="0" borderId="40" xfId="932" applyNumberFormat="1" applyFont="1" applyFill="1" applyBorder="1" applyAlignment="1">
      <alignment horizontal="center" vertical="center"/>
    </xf>
    <xf numFmtId="0" fontId="11" fillId="0" borderId="41" xfId="932" applyFont="1" applyFill="1" applyBorder="1" applyAlignment="1">
      <alignment vertical="center" wrapText="1"/>
    </xf>
    <xf numFmtId="3" fontId="82" fillId="0" borderId="42"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xf>
    <xf numFmtId="2" fontId="83" fillId="0" borderId="0" xfId="2" applyNumberFormat="1" applyFont="1" applyFill="1" applyAlignment="1">
      <alignment horizontal="right" vertical="top" wrapText="1"/>
    </xf>
    <xf numFmtId="0" fontId="84" fillId="0" borderId="0" xfId="932" applyFont="1" applyFill="1" applyAlignment="1">
      <alignment vertical="center"/>
    </xf>
    <xf numFmtId="3" fontId="82" fillId="0" borderId="38" xfId="932" applyNumberFormat="1" applyFont="1" applyFill="1" applyBorder="1" applyAlignment="1">
      <alignment horizontal="center" vertical="center"/>
    </xf>
    <xf numFmtId="171" fontId="85"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6" fillId="0" borderId="0" xfId="932" applyFont="1" applyFill="1" applyAlignment="1">
      <alignment vertical="center"/>
    </xf>
    <xf numFmtId="0" fontId="86" fillId="0" borderId="0" xfId="933" applyFont="1" applyFill="1" applyAlignment="1">
      <alignment vertical="center"/>
    </xf>
    <xf numFmtId="0" fontId="86"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3" xfId="932" applyFont="1" applyFill="1" applyBorder="1" applyAlignment="1">
      <alignment vertical="center" wrapText="1"/>
    </xf>
    <xf numFmtId="3" fontId="82" fillId="0" borderId="44" xfId="932" applyNumberFormat="1" applyFont="1" applyFill="1" applyBorder="1" applyAlignment="1">
      <alignment horizontal="center" vertical="center"/>
    </xf>
    <xf numFmtId="10" fontId="82" fillId="0" borderId="42" xfId="932" applyNumberFormat="1" applyFont="1" applyFill="1" applyBorder="1" applyAlignment="1">
      <alignment horizontal="center" vertical="center"/>
    </xf>
    <xf numFmtId="9" fontId="82" fillId="0" borderId="44" xfId="932" applyNumberFormat="1" applyFont="1" applyFill="1" applyBorder="1" applyAlignment="1">
      <alignment horizontal="center" vertical="center"/>
    </xf>
    <xf numFmtId="0" fontId="11" fillId="0" borderId="45" xfId="932" applyFont="1" applyFill="1" applyBorder="1" applyAlignment="1">
      <alignment vertical="center" wrapText="1"/>
    </xf>
    <xf numFmtId="3" fontId="82" fillId="0" borderId="37" xfId="932" applyNumberFormat="1" applyFont="1" applyFill="1" applyBorder="1" applyAlignment="1">
      <alignment horizontal="center" vertical="center"/>
    </xf>
    <xf numFmtId="0" fontId="11" fillId="0" borderId="46" xfId="932" applyFont="1" applyFill="1" applyBorder="1" applyAlignment="1">
      <alignment vertical="center" wrapText="1"/>
    </xf>
    <xf numFmtId="10" fontId="82" fillId="0" borderId="47" xfId="933" applyNumberFormat="1" applyFont="1" applyFill="1" applyBorder="1" applyAlignment="1">
      <alignment horizontal="center" vertical="center"/>
    </xf>
    <xf numFmtId="10" fontId="82" fillId="0" borderId="39" xfId="933" applyNumberFormat="1" applyFont="1" applyFill="1" applyBorder="1" applyAlignment="1">
      <alignment horizontal="center" vertical="center"/>
    </xf>
    <xf numFmtId="10" fontId="82" fillId="0" borderId="39" xfId="932" applyNumberFormat="1" applyFont="1" applyFill="1" applyBorder="1" applyAlignment="1">
      <alignment horizontal="center" vertical="center"/>
    </xf>
    <xf numFmtId="0" fontId="11" fillId="0" borderId="48" xfId="932" applyFont="1" applyFill="1" applyBorder="1" applyAlignment="1">
      <alignment vertical="center" wrapText="1"/>
    </xf>
    <xf numFmtId="0" fontId="11" fillId="0" borderId="26" xfId="932" applyFont="1" applyFill="1" applyBorder="1" applyAlignment="1">
      <alignment horizontal="left" vertical="center" wrapText="1"/>
    </xf>
    <xf numFmtId="1" fontId="11" fillId="0" borderId="25" xfId="932" applyNumberFormat="1" applyFont="1" applyFill="1" applyBorder="1" applyAlignment="1">
      <alignment horizontal="center" vertical="center"/>
    </xf>
    <xf numFmtId="0" fontId="11" fillId="0" borderId="24" xfId="932" applyFont="1" applyFill="1" applyBorder="1" applyAlignment="1">
      <alignment vertical="center" wrapText="1"/>
    </xf>
    <xf numFmtId="10" fontId="82" fillId="0" borderId="1" xfId="933" applyNumberFormat="1" applyFont="1" applyFill="1" applyBorder="1" applyAlignment="1">
      <alignment horizontal="center" vertical="center"/>
    </xf>
    <xf numFmtId="10" fontId="82" fillId="0" borderId="1" xfId="933" applyNumberFormat="1" applyFont="1" applyFill="1" applyBorder="1" applyAlignment="1">
      <alignment vertical="center"/>
    </xf>
    <xf numFmtId="10" fontId="82" fillId="0" borderId="1" xfId="932" applyNumberFormat="1" applyFont="1" applyFill="1" applyBorder="1" applyAlignment="1">
      <alignment horizontal="center" vertical="center"/>
    </xf>
    <xf numFmtId="10" fontId="82" fillId="0" borderId="1" xfId="932" applyNumberFormat="1" applyFont="1" applyFill="1" applyBorder="1" applyAlignment="1">
      <alignment vertical="center"/>
    </xf>
    <xf numFmtId="0" fontId="11" fillId="0" borderId="23" xfId="932" applyFont="1" applyFill="1" applyBorder="1" applyAlignment="1">
      <alignment vertical="center" wrapText="1"/>
    </xf>
    <xf numFmtId="4" fontId="82" fillId="0" borderId="22" xfId="932" applyNumberFormat="1" applyFont="1" applyFill="1" applyBorder="1" applyAlignment="1">
      <alignment vertical="center"/>
    </xf>
    <xf numFmtId="0" fontId="11" fillId="0" borderId="0" xfId="932" applyFont="1" applyFill="1" applyAlignment="1">
      <alignment vertical="center" wrapText="1"/>
    </xf>
    <xf numFmtId="0" fontId="78" fillId="0" borderId="26" xfId="932" applyFont="1" applyFill="1" applyBorder="1" applyAlignment="1">
      <alignment vertical="center" wrapText="1"/>
    </xf>
    <xf numFmtId="3" fontId="82" fillId="0" borderId="1" xfId="932" applyNumberFormat="1" applyFont="1" applyFill="1" applyBorder="1" applyAlignment="1">
      <alignment horizontal="center" vertical="center"/>
    </xf>
    <xf numFmtId="3" fontId="82" fillId="0" borderId="1" xfId="932" applyNumberFormat="1" applyFont="1" applyFill="1" applyBorder="1" applyAlignment="1">
      <alignment vertical="center"/>
    </xf>
    <xf numFmtId="3" fontId="87" fillId="0" borderId="4" xfId="932" applyNumberFormat="1" applyFont="1" applyFill="1" applyBorder="1" applyAlignment="1">
      <alignment horizontal="center" vertical="center"/>
    </xf>
    <xf numFmtId="3" fontId="87" fillId="0" borderId="4" xfId="932" applyNumberFormat="1" applyFont="1" applyFill="1" applyBorder="1" applyAlignment="1">
      <alignment vertical="center"/>
    </xf>
    <xf numFmtId="3" fontId="82" fillId="0" borderId="22" xfId="932" applyNumberFormat="1" applyFont="1" applyFill="1" applyBorder="1" applyAlignment="1">
      <alignment horizontal="center" vertical="center"/>
    </xf>
    <xf numFmtId="3" fontId="82" fillId="0" borderId="22"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8" fillId="0" borderId="24" xfId="932" applyFont="1" applyFill="1" applyBorder="1" applyAlignment="1">
      <alignment vertical="center" wrapText="1"/>
    </xf>
    <xf numFmtId="172" fontId="88" fillId="0" borderId="1" xfId="932" applyNumberFormat="1" applyFont="1" applyFill="1" applyBorder="1" applyAlignment="1">
      <alignment horizontal="center" vertical="center"/>
    </xf>
    <xf numFmtId="172" fontId="88" fillId="0" borderId="1" xfId="932" applyNumberFormat="1" applyFont="1" applyFill="1" applyBorder="1" applyAlignment="1">
      <alignment vertical="center"/>
    </xf>
    <xf numFmtId="172" fontId="82" fillId="0" borderId="1" xfId="932" applyNumberFormat="1" applyFont="1" applyFill="1" applyBorder="1" applyAlignment="1">
      <alignment horizontal="center" vertical="center"/>
    </xf>
    <xf numFmtId="172" fontId="82" fillId="0" borderId="1" xfId="932" applyNumberFormat="1" applyFont="1" applyFill="1" applyBorder="1" applyAlignment="1">
      <alignment vertical="center"/>
    </xf>
    <xf numFmtId="0" fontId="11" fillId="0" borderId="24" xfId="932" applyFont="1" applyFill="1" applyBorder="1" applyAlignment="1">
      <alignment horizontal="left" vertical="center" wrapText="1"/>
    </xf>
    <xf numFmtId="172" fontId="82" fillId="0" borderId="4" xfId="932" applyNumberFormat="1" applyFont="1" applyFill="1" applyBorder="1" applyAlignment="1">
      <alignment vertical="center"/>
    </xf>
    <xf numFmtId="0" fontId="78" fillId="0" borderId="24" xfId="932" applyFont="1" applyFill="1" applyBorder="1" applyAlignment="1">
      <alignment horizontal="left" vertical="center" wrapText="1"/>
    </xf>
    <xf numFmtId="172" fontId="82" fillId="0" borderId="1" xfId="934" applyNumberFormat="1" applyFont="1" applyFill="1" applyBorder="1" applyAlignment="1">
      <alignment vertical="center"/>
    </xf>
    <xf numFmtId="0" fontId="78" fillId="0" borderId="23" xfId="932" applyFont="1" applyFill="1" applyBorder="1" applyAlignment="1">
      <alignment horizontal="left" vertical="center" wrapText="1"/>
    </xf>
    <xf numFmtId="172" fontId="88" fillId="0" borderId="22" xfId="932" applyNumberFormat="1" applyFont="1" applyFill="1" applyBorder="1" applyAlignment="1">
      <alignment vertical="center"/>
    </xf>
    <xf numFmtId="173" fontId="82" fillId="0" borderId="0" xfId="932" applyNumberFormat="1" applyFont="1" applyFill="1" applyBorder="1" applyAlignment="1">
      <alignment horizontal="center" vertical="center"/>
    </xf>
    <xf numFmtId="174" fontId="82" fillId="0" borderId="1" xfId="932" applyNumberFormat="1" applyFont="1" applyFill="1" applyBorder="1" applyAlignment="1">
      <alignment horizontal="center" vertical="center"/>
    </xf>
    <xf numFmtId="171" fontId="88" fillId="0" borderId="1" xfId="932" applyNumberFormat="1" applyFont="1" applyFill="1" applyBorder="1" applyAlignment="1">
      <alignment horizontal="center" vertical="center"/>
    </xf>
    <xf numFmtId="171" fontId="88" fillId="0" borderId="1" xfId="932" applyNumberFormat="1" applyFont="1" applyFill="1" applyBorder="1" applyAlignment="1">
      <alignment vertical="center"/>
    </xf>
    <xf numFmtId="10" fontId="88" fillId="0" borderId="1" xfId="932" applyNumberFormat="1" applyFont="1" applyFill="1" applyBorder="1" applyAlignment="1">
      <alignment vertical="center"/>
    </xf>
    <xf numFmtId="175" fontId="88" fillId="0" borderId="1" xfId="932" applyNumberFormat="1" applyFont="1" applyFill="1" applyBorder="1" applyAlignment="1">
      <alignment horizontal="center" vertical="center"/>
    </xf>
    <xf numFmtId="175" fontId="88" fillId="0" borderId="1" xfId="932" applyNumberFormat="1" applyFont="1" applyFill="1" applyBorder="1" applyAlignment="1">
      <alignment vertical="center"/>
    </xf>
    <xf numFmtId="0" fontId="78" fillId="0" borderId="23" xfId="932" applyFont="1" applyFill="1" applyBorder="1" applyAlignment="1">
      <alignment vertical="center" wrapText="1"/>
    </xf>
    <xf numFmtId="175" fontId="88" fillId="0" borderId="22" xfId="932" applyNumberFormat="1" applyFont="1" applyFill="1" applyBorder="1" applyAlignment="1">
      <alignment horizontal="center" vertical="center"/>
    </xf>
    <xf numFmtId="175" fontId="88" fillId="0" borderId="22" xfId="932" applyNumberFormat="1" applyFont="1" applyFill="1" applyBorder="1" applyAlignment="1">
      <alignment vertical="center"/>
    </xf>
    <xf numFmtId="0" fontId="90" fillId="0" borderId="0" xfId="932" applyFont="1" applyFill="1" applyBorder="1" applyAlignment="1"/>
    <xf numFmtId="0" fontId="90"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1" fillId="0" borderId="1" xfId="932" applyNumberFormat="1" applyFont="1" applyFill="1" applyBorder="1" applyAlignment="1">
      <alignment vertical="center"/>
    </xf>
    <xf numFmtId="0" fontId="91" fillId="0" borderId="0" xfId="932" applyFont="1" applyFill="1" applyBorder="1" applyAlignment="1">
      <alignment vertical="center"/>
    </xf>
    <xf numFmtId="0" fontId="91" fillId="0" borderId="1" xfId="932" applyFont="1" applyFill="1" applyBorder="1" applyAlignment="1">
      <alignment vertical="center"/>
    </xf>
    <xf numFmtId="0" fontId="92" fillId="0" borderId="0" xfId="932" applyFont="1" applyFill="1" applyBorder="1" applyAlignment="1">
      <alignment vertical="center"/>
    </xf>
    <xf numFmtId="4" fontId="7" fillId="0" borderId="0" xfId="932" applyNumberFormat="1" applyFont="1" applyFill="1" applyBorder="1" applyAlignment="1">
      <alignment vertical="center"/>
    </xf>
    <xf numFmtId="176" fontId="91" fillId="24" borderId="1" xfId="932" applyNumberFormat="1" applyFont="1" applyFill="1" applyBorder="1" applyAlignment="1">
      <alignment vertical="center"/>
    </xf>
    <xf numFmtId="177" fontId="91" fillId="0" borderId="0" xfId="932" applyNumberFormat="1" applyFont="1" applyFill="1" applyBorder="1" applyAlignment="1">
      <alignment vertical="center"/>
    </xf>
    <xf numFmtId="0" fontId="93" fillId="0" borderId="1" xfId="935" applyFont="1" applyFill="1" applyBorder="1" applyAlignment="1">
      <alignment horizontal="center" vertical="center" wrapText="1"/>
    </xf>
    <xf numFmtId="176" fontId="11" fillId="0" borderId="1" xfId="932" applyNumberFormat="1" applyFont="1" applyFill="1" applyBorder="1" applyAlignment="1">
      <alignment horizontal="center" vertical="center"/>
    </xf>
    <xf numFmtId="171"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94"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95" fillId="0" borderId="1" xfId="45" applyFont="1" applyFill="1" applyBorder="1" applyAlignment="1">
      <alignment horizontal="left" vertical="center" wrapText="1"/>
    </xf>
    <xf numFmtId="176" fontId="11" fillId="0" borderId="1" xfId="2" applyNumberFormat="1" applyFont="1" applyFill="1" applyBorder="1" applyAlignment="1">
      <alignment horizontal="center" vertical="center" wrapText="1"/>
    </xf>
    <xf numFmtId="176" fontId="37" fillId="0" borderId="1" xfId="2" applyNumberFormat="1" applyFont="1" applyFill="1" applyBorder="1" applyAlignment="1">
      <alignment horizontal="center" vertical="center" wrapText="1"/>
    </xf>
    <xf numFmtId="0" fontId="97" fillId="0" borderId="1" xfId="45" applyFont="1" applyFill="1" applyBorder="1" applyAlignment="1">
      <alignment horizontal="left" vertical="center" wrapText="1"/>
    </xf>
    <xf numFmtId="0" fontId="95"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98" fillId="0" borderId="0" xfId="49" applyFont="1" applyFill="1" applyAlignment="1"/>
    <xf numFmtId="0" fontId="98" fillId="0" borderId="1" xfId="49" applyFont="1" applyFill="1" applyBorder="1" applyAlignment="1">
      <alignment horizontal="center" vertical="center" wrapText="1"/>
    </xf>
    <xf numFmtId="0" fontId="98" fillId="0" borderId="1" xfId="49" applyFont="1" applyFill="1" applyBorder="1" applyAlignment="1">
      <alignment horizontal="center" vertical="center"/>
    </xf>
    <xf numFmtId="0" fontId="101" fillId="0" borderId="9" xfId="49" applyFont="1" applyBorder="1" applyAlignment="1">
      <alignment horizontal="center" vertical="center"/>
    </xf>
    <xf numFmtId="0" fontId="101" fillId="0" borderId="0" xfId="49" applyFont="1"/>
    <xf numFmtId="1" fontId="101"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101" fillId="25" borderId="1" xfId="49" applyNumberFormat="1" applyFont="1" applyFill="1" applyBorder="1" applyAlignment="1">
      <alignment horizontal="center" vertical="center"/>
    </xf>
    <xf numFmtId="173" fontId="101" fillId="25" borderId="1" xfId="49" applyNumberFormat="1" applyFont="1" applyFill="1" applyBorder="1" applyAlignment="1">
      <alignment horizontal="center" vertical="center"/>
    </xf>
    <xf numFmtId="14" fontId="101" fillId="25" borderId="1" xfId="49" applyNumberFormat="1" applyFont="1" applyFill="1" applyBorder="1" applyAlignment="1">
      <alignment horizontal="center" vertical="center"/>
    </xf>
    <xf numFmtId="0" fontId="101" fillId="25" borderId="0" xfId="49" applyFont="1" applyFill="1" applyBorder="1"/>
    <xf numFmtId="0" fontId="101"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103"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8" fillId="0" borderId="51" xfId="2" applyFont="1" applyFill="1" applyBorder="1" applyAlignment="1">
      <alignment horizontal="justify"/>
    </xf>
    <xf numFmtId="0" fontId="82" fillId="0" borderId="51" xfId="2" applyFont="1" applyFill="1" applyBorder="1" applyAlignment="1">
      <alignment horizontal="center" vertical="center"/>
    </xf>
    <xf numFmtId="0" fontId="82" fillId="0" borderId="0" xfId="2" applyFont="1" applyFill="1"/>
    <xf numFmtId="0" fontId="88" fillId="0" borderId="51" xfId="2" applyFont="1" applyFill="1" applyBorder="1" applyAlignment="1">
      <alignment vertical="top" wrapText="1"/>
    </xf>
    <xf numFmtId="0" fontId="88" fillId="0" borderId="52" xfId="2" applyFont="1" applyFill="1" applyBorder="1" applyAlignment="1">
      <alignment vertical="top" wrapText="1"/>
    </xf>
    <xf numFmtId="0" fontId="88" fillId="0" borderId="52" xfId="2" applyFont="1" applyFill="1" applyBorder="1" applyAlignment="1">
      <alignment horizontal="justify" vertical="top" wrapText="1"/>
    </xf>
    <xf numFmtId="0" fontId="82" fillId="0" borderId="51" xfId="2" applyFont="1" applyFill="1" applyBorder="1" applyAlignment="1">
      <alignment horizontal="justify" vertical="top" wrapText="1"/>
    </xf>
    <xf numFmtId="0" fontId="88" fillId="0" borderId="51" xfId="2" applyFont="1" applyFill="1" applyBorder="1" applyAlignment="1">
      <alignment horizontal="justify" vertical="top" wrapText="1"/>
    </xf>
    <xf numFmtId="0" fontId="88" fillId="0" borderId="53" xfId="2" applyFont="1" applyFill="1" applyBorder="1" applyAlignment="1">
      <alignment vertical="top" wrapText="1"/>
    </xf>
    <xf numFmtId="0" fontId="82" fillId="0" borderId="53" xfId="2" applyFont="1" applyFill="1" applyBorder="1" applyAlignment="1">
      <alignment vertical="top" wrapText="1"/>
    </xf>
    <xf numFmtId="0" fontId="82" fillId="0" borderId="54" xfId="2" applyFont="1" applyFill="1" applyBorder="1" applyAlignment="1">
      <alignment vertical="top" wrapText="1"/>
    </xf>
    <xf numFmtId="0" fontId="82" fillId="0" borderId="52" xfId="2" applyFont="1" applyFill="1" applyBorder="1" applyAlignment="1">
      <alignment vertical="top" wrapText="1"/>
    </xf>
    <xf numFmtId="0" fontId="88" fillId="0" borderId="53" xfId="2" applyFont="1" applyFill="1" applyBorder="1" applyAlignment="1">
      <alignment horizontal="left" vertical="center" wrapText="1"/>
    </xf>
    <xf numFmtId="0" fontId="88" fillId="0" borderId="53" xfId="2" applyFont="1" applyFill="1" applyBorder="1" applyAlignment="1">
      <alignment horizontal="center" vertical="center" wrapText="1"/>
    </xf>
    <xf numFmtId="0" fontId="82" fillId="0" borderId="52" xfId="2" applyFont="1" applyFill="1" applyBorder="1"/>
    <xf numFmtId="1" fontId="88" fillId="0" borderId="0" xfId="2" applyNumberFormat="1" applyFont="1" applyFill="1" applyAlignment="1">
      <alignment horizontal="left" vertical="top"/>
    </xf>
    <xf numFmtId="49" fontId="82" fillId="0" borderId="0" xfId="2" applyNumberFormat="1" applyFont="1" applyFill="1" applyAlignment="1">
      <alignment horizontal="left" vertical="top" wrapText="1"/>
    </xf>
    <xf numFmtId="49" fontId="82" fillId="0" borderId="0" xfId="2" applyNumberFormat="1" applyFont="1" applyFill="1" applyBorder="1" applyAlignment="1">
      <alignment horizontal="left" vertical="top"/>
    </xf>
    <xf numFmtId="0" fontId="82"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104" fillId="0" borderId="51" xfId="0" applyFont="1" applyBorder="1" applyAlignment="1">
      <alignment horizontal="center" vertical="center" wrapText="1"/>
    </xf>
    <xf numFmtId="0" fontId="105" fillId="0" borderId="51" xfId="0" applyFont="1" applyBorder="1" applyAlignment="1">
      <alignment horizontal="center" vertical="center"/>
    </xf>
    <xf numFmtId="0" fontId="105" fillId="0" borderId="51" xfId="0" applyFont="1" applyBorder="1" applyAlignment="1">
      <alignment horizontal="center" vertical="center" wrapText="1"/>
    </xf>
    <xf numFmtId="0" fontId="0" fillId="0" borderId="27" xfId="0" applyBorder="1" applyAlignment="1">
      <alignment horizontal="center" vertical="center"/>
    </xf>
    <xf numFmtId="0" fontId="104" fillId="0" borderId="2" xfId="0" applyFont="1" applyBorder="1" applyAlignment="1">
      <alignment horizontal="center" vertical="center" wrapText="1"/>
    </xf>
    <xf numFmtId="0" fontId="0" fillId="0" borderId="2" xfId="0" applyBorder="1" applyAlignment="1">
      <alignment horizontal="center" vertical="center"/>
    </xf>
    <xf numFmtId="0" fontId="104" fillId="0" borderId="1" xfId="0" applyFont="1" applyBorder="1" applyAlignment="1">
      <alignment horizontal="center" vertical="center" wrapText="1"/>
    </xf>
    <xf numFmtId="0" fontId="106" fillId="0" borderId="0" xfId="0" applyFont="1"/>
    <xf numFmtId="0" fontId="107" fillId="0" borderId="0" xfId="0" applyFont="1"/>
    <xf numFmtId="0" fontId="11" fillId="0" borderId="1" xfId="61" applyFont="1" applyBorder="1" applyAlignment="1">
      <alignment horizontal="center" vertical="center" wrapText="1"/>
    </xf>
    <xf numFmtId="0" fontId="48" fillId="0" borderId="1" xfId="1" applyFont="1" applyBorder="1" applyAlignment="1">
      <alignment horizontal="center" vertical="center" wrapText="1"/>
    </xf>
    <xf numFmtId="0" fontId="48" fillId="0" borderId="1" xfId="0" applyFont="1" applyBorder="1" applyAlignment="1">
      <alignment horizontal="center" vertical="center" wrapText="1"/>
    </xf>
    <xf numFmtId="176" fontId="7" fillId="0" borderId="1" xfId="1"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9" xfId="2" applyFont="1" applyFill="1" applyBorder="1" applyAlignment="1">
      <alignment horizontal="center" vertical="center" wrapText="1"/>
    </xf>
    <xf numFmtId="0" fontId="36" fillId="0" borderId="0" xfId="1" applyFont="1" applyFill="1" applyAlignment="1">
      <alignment vertical="center"/>
    </xf>
    <xf numFmtId="0" fontId="94" fillId="0" borderId="0" xfId="936" applyFont="1" applyFill="1" applyAlignment="1"/>
    <xf numFmtId="0" fontId="94" fillId="0" borderId="0" xfId="2" applyFont="1" applyFill="1"/>
    <xf numFmtId="0" fontId="94"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41" fillId="0" borderId="0" xfId="0" applyNumberFormat="1" applyFont="1" applyFill="1" applyAlignment="1">
      <alignment vertical="center"/>
    </xf>
    <xf numFmtId="4" fontId="10" fillId="0" borderId="0" xfId="68" applyNumberFormat="1" applyFont="1"/>
    <xf numFmtId="4" fontId="10" fillId="0" borderId="0" xfId="68" applyNumberFormat="1" applyFont="1" applyBorder="1"/>
    <xf numFmtId="4" fontId="7" fillId="0" borderId="0" xfId="68" applyNumberFormat="1" applyFont="1"/>
    <xf numFmtId="4" fontId="11" fillId="0" borderId="0" xfId="932" applyNumberFormat="1" applyFont="1" applyFill="1" applyAlignment="1">
      <alignment vertical="center"/>
    </xf>
    <xf numFmtId="4" fontId="0" fillId="0" borderId="0" xfId="0" applyNumberFormat="1"/>
    <xf numFmtId="4" fontId="78" fillId="0" borderId="0" xfId="932" applyNumberFormat="1" applyFont="1" applyFill="1" applyAlignment="1">
      <alignment vertical="center"/>
    </xf>
    <xf numFmtId="4" fontId="11" fillId="0" borderId="0" xfId="932" applyNumberFormat="1" applyFont="1" applyFill="1" applyBorder="1" applyAlignment="1">
      <alignment vertical="center"/>
    </xf>
    <xf numFmtId="4" fontId="91" fillId="0" borderId="0" xfId="932" applyNumberFormat="1" applyFont="1" applyFill="1" applyBorder="1" applyAlignment="1">
      <alignment vertical="center"/>
    </xf>
    <xf numFmtId="4" fontId="92" fillId="0" borderId="0" xfId="932" applyNumberFormat="1" applyFont="1" applyFill="1" applyBorder="1" applyAlignment="1">
      <alignment vertical="center"/>
    </xf>
    <xf numFmtId="178" fontId="82" fillId="0" borderId="43" xfId="937" applyNumberFormat="1" applyFont="1" applyFill="1" applyBorder="1" applyAlignment="1">
      <alignment horizontal="center" vertical="center"/>
    </xf>
    <xf numFmtId="3" fontId="88" fillId="0" borderId="1" xfId="932" applyNumberFormat="1" applyFont="1" applyFill="1" applyBorder="1" applyAlignment="1">
      <alignment horizontal="right" vertical="center"/>
    </xf>
    <xf numFmtId="3" fontId="82" fillId="0" borderId="1" xfId="932" applyNumberFormat="1" applyFont="1" applyFill="1" applyBorder="1" applyAlignment="1">
      <alignment horizontal="right" vertical="center"/>
    </xf>
    <xf numFmtId="3" fontId="82" fillId="0" borderId="4" xfId="932" applyNumberFormat="1" applyFont="1" applyFill="1" applyBorder="1" applyAlignment="1">
      <alignment horizontal="right" vertical="center"/>
    </xf>
    <xf numFmtId="3" fontId="82" fillId="0" borderId="1" xfId="934" applyNumberFormat="1" applyFont="1" applyFill="1" applyBorder="1" applyAlignment="1">
      <alignment horizontal="right" vertical="center"/>
    </xf>
    <xf numFmtId="3" fontId="88" fillId="0" borderId="22" xfId="932" applyNumberFormat="1" applyFont="1" applyFill="1" applyBorder="1" applyAlignment="1">
      <alignment horizontal="right" vertical="center"/>
    </xf>
    <xf numFmtId="3" fontId="88" fillId="0" borderId="1" xfId="932" applyNumberFormat="1" applyFont="1" applyFill="1" applyBorder="1" applyAlignment="1">
      <alignment horizontal="center" vertical="center"/>
    </xf>
    <xf numFmtId="3" fontId="82" fillId="0" borderId="4" xfId="932" applyNumberFormat="1" applyFont="1" applyFill="1" applyBorder="1" applyAlignment="1">
      <alignment horizontal="center" vertical="center"/>
    </xf>
    <xf numFmtId="179" fontId="82" fillId="0" borderId="1" xfId="932" applyNumberFormat="1" applyFont="1" applyFill="1" applyBorder="1" applyAlignment="1">
      <alignment horizontal="center" vertical="center"/>
    </xf>
    <xf numFmtId="180" fontId="82" fillId="0" borderId="1" xfId="932" applyNumberFormat="1" applyFont="1" applyFill="1" applyBorder="1" applyAlignment="1">
      <alignment horizontal="center" vertical="center"/>
    </xf>
    <xf numFmtId="173" fontId="88" fillId="0" borderId="1"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wrapText="1"/>
    </xf>
    <xf numFmtId="4" fontId="82" fillId="0" borderId="51" xfId="2" applyNumberFormat="1" applyFont="1" applyFill="1" applyBorder="1" applyAlignment="1">
      <alignment horizontal="center" vertical="center"/>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9" fillId="24" borderId="0" xfId="1" applyFont="1" applyFill="1" applyAlignment="1">
      <alignment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0" fontId="3" fillId="24" borderId="0" xfId="1" applyFill="1" applyBorder="1"/>
    <xf numFmtId="0" fontId="3" fillId="24" borderId="0" xfId="1" applyFill="1"/>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4" fontId="11" fillId="24" borderId="1" xfId="0" applyNumberFormat="1" applyFont="1" applyFill="1" applyBorder="1" applyAlignment="1">
      <alignment horizontal="center" vertical="center" wrapText="1"/>
    </xf>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8" fillId="24" borderId="1" xfId="1" applyNumberFormat="1" applyFont="1" applyFill="1" applyBorder="1" applyAlignment="1">
      <alignment horizontal="center" vertical="center" wrapText="1"/>
    </xf>
    <xf numFmtId="0" fontId="7" fillId="24" borderId="1" xfId="0" applyFont="1" applyFill="1" applyBorder="1" applyAlignment="1">
      <alignment horizontal="center" vertical="center"/>
    </xf>
    <xf numFmtId="4" fontId="7" fillId="24" borderId="30" xfId="66" applyNumberFormat="1" applyFont="1" applyFill="1" applyBorder="1" applyAlignment="1">
      <alignment horizontal="center" vertical="center" wrapText="1"/>
    </xf>
    <xf numFmtId="0" fontId="94" fillId="0" borderId="9"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82" fillId="0" borderId="51" xfId="2" applyNumberFormat="1" applyFont="1" applyFill="1" applyBorder="1" applyAlignment="1">
      <alignment horizontal="center" vertical="center"/>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80" fillId="0" borderId="1" xfId="932" applyFont="1" applyFill="1" applyBorder="1" applyAlignment="1">
      <alignment horizontal="center" vertical="center"/>
    </xf>
    <xf numFmtId="0" fontId="80" fillId="0" borderId="4" xfId="932" applyFont="1" applyFill="1" applyBorder="1" applyAlignment="1">
      <alignment horizontal="center" vertical="center" wrapText="1"/>
    </xf>
    <xf numFmtId="0" fontId="80" fillId="0" borderId="3" xfId="932" applyFont="1" applyFill="1" applyBorder="1" applyAlignment="1">
      <alignment horizontal="center" vertical="center" wrapText="1"/>
    </xf>
    <xf numFmtId="0" fontId="89" fillId="0" borderId="0" xfId="932" applyFont="1" applyFill="1" applyBorder="1" applyAlignment="1">
      <alignment horizontal="left" vertical="center" wrapText="1"/>
    </xf>
    <xf numFmtId="0" fontId="81" fillId="0" borderId="0" xfId="932" applyFont="1" applyFill="1" applyAlignment="1">
      <alignment horizontal="center" vertical="center"/>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37" fillId="0" borderId="0" xfId="0" applyFont="1" applyFill="1" applyAlignment="1">
      <alignment horizontal="center" vertical="center"/>
    </xf>
    <xf numFmtId="0" fontId="77"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4" xfId="936" applyFont="1" applyFill="1" applyBorder="1" applyAlignment="1">
      <alignment horizontal="center" vertical="center"/>
    </xf>
    <xf numFmtId="0" fontId="94" fillId="0" borderId="6" xfId="936" applyFont="1" applyFill="1" applyBorder="1" applyAlignment="1">
      <alignment horizontal="center" vertical="center"/>
    </xf>
    <xf numFmtId="0" fontId="94"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94" fillId="0" borderId="9" xfId="2" applyFont="1" applyFill="1" applyBorder="1" applyAlignment="1">
      <alignment horizontal="center" vertical="center" wrapText="1"/>
    </xf>
    <xf numFmtId="0" fontId="94" fillId="0" borderId="5" xfId="2" applyFont="1" applyFill="1" applyBorder="1" applyAlignment="1">
      <alignment horizontal="center" vertical="center" wrapText="1"/>
    </xf>
    <xf numFmtId="0" fontId="94" fillId="0" borderId="2" xfId="2" applyFont="1" applyFill="1" applyBorder="1" applyAlignment="1">
      <alignment horizontal="center" vertical="center" wrapText="1"/>
    </xf>
    <xf numFmtId="0" fontId="94" fillId="0" borderId="1" xfId="2" applyFont="1" applyFill="1" applyBorder="1" applyAlignment="1">
      <alignment horizontal="center" vertical="center"/>
    </xf>
    <xf numFmtId="0" fontId="94" fillId="0" borderId="8" xfId="936" applyFont="1" applyFill="1" applyBorder="1" applyAlignment="1">
      <alignment horizontal="center" vertical="center" wrapText="1"/>
    </xf>
    <xf numFmtId="0" fontId="94" fillId="0" borderId="49" xfId="936" applyFont="1" applyFill="1" applyBorder="1" applyAlignment="1">
      <alignment horizontal="center" vertical="center" wrapText="1"/>
    </xf>
    <xf numFmtId="0" fontId="94" fillId="0" borderId="21" xfId="936" applyFont="1" applyFill="1" applyBorder="1" applyAlignment="1">
      <alignment horizontal="center" vertical="center" wrapText="1"/>
    </xf>
    <xf numFmtId="0" fontId="94" fillId="0" borderId="19" xfId="936"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102" fillId="25" borderId="0" xfId="49" applyFont="1" applyFill="1" applyBorder="1" applyAlignment="1">
      <alignment horizontal="center"/>
    </xf>
    <xf numFmtId="0" fontId="99" fillId="0" borderId="9" xfId="2" applyFont="1" applyFill="1" applyBorder="1" applyAlignment="1">
      <alignment horizontal="center" vertical="center" wrapText="1"/>
    </xf>
    <xf numFmtId="0" fontId="99" fillId="0" borderId="2" xfId="2" applyFont="1" applyFill="1" applyBorder="1" applyAlignment="1">
      <alignment horizontal="center" vertical="center" wrapText="1"/>
    </xf>
    <xf numFmtId="0" fontId="100" fillId="0" borderId="9" xfId="45" applyFont="1" applyFill="1" applyBorder="1" applyAlignment="1">
      <alignment horizontal="center" vertical="center" wrapText="1"/>
    </xf>
    <xf numFmtId="0" fontId="100" fillId="0" borderId="2" xfId="45" applyFont="1" applyFill="1" applyBorder="1" applyAlignment="1">
      <alignment horizontal="center" vertical="center" wrapText="1"/>
    </xf>
    <xf numFmtId="0" fontId="98" fillId="0" borderId="9" xfId="49" applyFont="1" applyFill="1" applyBorder="1" applyAlignment="1">
      <alignment horizontal="center" vertical="center"/>
    </xf>
    <xf numFmtId="0" fontId="98" fillId="0" borderId="2" xfId="49" applyFont="1" applyFill="1" applyBorder="1" applyAlignment="1">
      <alignment horizontal="center" vertical="center"/>
    </xf>
    <xf numFmtId="0" fontId="98" fillId="0" borderId="1" xfId="49" applyFont="1" applyFill="1" applyBorder="1" applyAlignment="1">
      <alignment horizontal="center" vertical="center" wrapText="1"/>
    </xf>
    <xf numFmtId="0" fontId="98" fillId="0" borderId="9" xfId="49" applyFont="1" applyFill="1" applyBorder="1" applyAlignment="1">
      <alignment horizontal="center" vertical="center" wrapText="1"/>
    </xf>
    <xf numFmtId="0" fontId="98" fillId="0" borderId="2" xfId="49" applyFont="1" applyFill="1" applyBorder="1" applyAlignment="1">
      <alignment horizontal="center" vertical="center" wrapText="1"/>
    </xf>
    <xf numFmtId="0" fontId="99" fillId="0" borderId="1" xfId="49" applyFont="1" applyFill="1" applyBorder="1" applyAlignment="1" applyProtection="1">
      <alignment horizontal="center" vertical="center" wrapText="1"/>
    </xf>
    <xf numFmtId="0" fontId="99" fillId="0" borderId="9" xfId="49" applyFont="1" applyFill="1" applyBorder="1" applyAlignment="1" applyProtection="1">
      <alignment horizontal="center" vertical="center" wrapText="1"/>
    </xf>
    <xf numFmtId="0" fontId="99"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98" fillId="0" borderId="5" xfId="49" applyFont="1" applyFill="1" applyBorder="1" applyAlignment="1">
      <alignment horizontal="center" vertical="center" wrapText="1"/>
    </xf>
    <xf numFmtId="0" fontId="98" fillId="0" borderId="8" xfId="49" applyFont="1" applyFill="1" applyBorder="1" applyAlignment="1">
      <alignment horizontal="center" vertical="center" wrapText="1"/>
    </xf>
    <xf numFmtId="0" fontId="98" fillId="0" borderId="50" xfId="49" applyFont="1" applyFill="1" applyBorder="1" applyAlignment="1">
      <alignment horizontal="center" vertical="center" wrapText="1"/>
    </xf>
    <xf numFmtId="0" fontId="98" fillId="0" borderId="21" xfId="49" applyFont="1" applyFill="1" applyBorder="1" applyAlignment="1">
      <alignment horizontal="center" vertical="center" wrapText="1"/>
    </xf>
    <xf numFmtId="0" fontId="98" fillId="0" borderId="4" xfId="49" applyFont="1" applyFill="1" applyBorder="1" applyAlignment="1">
      <alignment horizontal="center" vertical="center" wrapText="1"/>
    </xf>
    <xf numFmtId="0" fontId="98" fillId="0" borderId="6" xfId="49" applyFont="1" applyFill="1" applyBorder="1" applyAlignment="1">
      <alignment horizontal="center" vertical="center" wrapText="1"/>
    </xf>
    <xf numFmtId="0" fontId="98"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5" xfId="0" applyFont="1" applyBorder="1" applyAlignment="1">
      <alignment horizontal="center" vertical="center" wrapText="1"/>
    </xf>
    <xf numFmtId="0" fontId="106" fillId="0" borderId="0" xfId="0" applyFont="1" applyAlignment="1">
      <alignment wrapText="1"/>
    </xf>
    <xf numFmtId="0" fontId="107" fillId="0" borderId="0" xfId="0" applyFont="1" applyAlignment="1">
      <alignment wrapText="1"/>
    </xf>
    <xf numFmtId="0" fontId="107" fillId="0" borderId="0" xfId="0" applyFont="1" applyAlignment="1"/>
    <xf numFmtId="0" fontId="104" fillId="0" borderId="51" xfId="0" applyFont="1" applyBorder="1" applyAlignment="1">
      <alignment horizontal="center" vertical="center" wrapText="1"/>
    </xf>
    <xf numFmtId="0" fontId="102" fillId="0" borderId="56" xfId="0" applyFont="1" applyBorder="1" applyAlignment="1">
      <alignment horizontal="center" vertical="center"/>
    </xf>
    <xf numFmtId="0" fontId="102" fillId="0" borderId="57" xfId="0" applyFont="1" applyBorder="1" applyAlignment="1">
      <alignment horizontal="center" vertical="center"/>
    </xf>
    <xf numFmtId="0" fontId="102" fillId="0" borderId="58" xfId="0" applyFont="1" applyBorder="1" applyAlignment="1">
      <alignment horizontal="center" vertical="center"/>
    </xf>
    <xf numFmtId="0" fontId="104" fillId="33" borderId="56" xfId="0" applyFont="1" applyFill="1" applyBorder="1" applyAlignment="1">
      <alignment horizontal="center" vertical="center" wrapText="1"/>
    </xf>
    <xf numFmtId="0" fontId="104" fillId="33" borderId="57" xfId="0" applyFont="1" applyFill="1" applyBorder="1" applyAlignment="1">
      <alignment horizontal="center" vertical="center" wrapText="1"/>
    </xf>
    <xf numFmtId="0" fontId="104" fillId="33" borderId="58"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104" fillId="0" borderId="51" xfId="0" applyFont="1" applyBorder="1" applyAlignment="1">
      <alignment horizontal="center" vertical="center"/>
    </xf>
    <xf numFmtId="0" fontId="0" fillId="0" borderId="51" xfId="0" applyBorder="1" applyAlignment="1">
      <alignment horizontal="center" vertical="center"/>
    </xf>
    <xf numFmtId="2" fontId="104" fillId="0" borderId="51" xfId="0" applyNumberFormat="1" applyFont="1" applyBorder="1" applyAlignment="1">
      <alignment horizontal="center" vertical="center" wrapText="1"/>
    </xf>
    <xf numFmtId="0" fontId="0" fillId="0" borderId="51" xfId="0" applyBorder="1" applyAlignment="1">
      <alignment horizontal="center" vertical="center" wrapText="1"/>
    </xf>
  </cellXfs>
  <cellStyles count="938">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2,3" xfId="934"/>
    <cellStyle name="Обычный_Приложение 2.3" xfId="932"/>
    <cellStyle name="Обычный_Приложение 2_2 ДРСК" xfId="935"/>
    <cellStyle name="Обычный_Форматы по компаниям_last" xfId="936"/>
    <cellStyle name="Обычный_ЮЯ_РАО ЭСВ (1)"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xfId="937" builtinId="3"/>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50">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94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122876288"/>
        <c:axId val="122877824"/>
      </c:lineChart>
      <c:catAx>
        <c:axId val="122876288"/>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22877824"/>
        <c:crosses val="autoZero"/>
        <c:auto val="1"/>
        <c:lblAlgn val="ctr"/>
        <c:lblOffset val="100"/>
      </c:catAx>
      <c:valAx>
        <c:axId val="122877824"/>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22876288"/>
        <c:crosses val="autoZero"/>
        <c:crossBetween val="between"/>
      </c:valAx>
    </c:plotArea>
    <c:legend>
      <c:legendPos val="r"/>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66" l="0.70000000000000062" r="0.70000000000000062" t="0.75000000000000766"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3179"/>
          <c:y val="1.2133609744231021E-2"/>
        </c:manualLayout>
      </c:layout>
      <c:spPr>
        <a:noFill/>
        <a:ln w="25400">
          <a:noFill/>
        </a:ln>
      </c:spPr>
    </c:title>
    <c:plotArea>
      <c:layout>
        <c:manualLayout>
          <c:layoutTarget val="inner"/>
          <c:xMode val="edge"/>
          <c:yMode val="edge"/>
          <c:x val="7.6580811419325143E-2"/>
          <c:y val="5.6839083976907873E-2"/>
          <c:w val="0.90020465551093498"/>
          <c:h val="0.88415462781069987"/>
        </c:manualLayout>
      </c:layout>
      <c:lineChart>
        <c:grouping val="standard"/>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numRef>
              <c:f>'5. анализ эконом эфф'!$B$67:$V$67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эфф'!$B$79:$V$79</c:f>
              <c:numCache>
                <c:formatCode>_-* #,##0\ _₽_-;\-* #,##0\ _₽_-;_-* "-"\ _₽_-;_-@_-</c:formatCode>
                <c:ptCount val="21"/>
                <c:pt idx="0">
                  <c:v>-3740204.5794000002</c:v>
                </c:pt>
                <c:pt idx="1">
                  <c:v>-348901.11517054535</c:v>
                </c:pt>
                <c:pt idx="2">
                  <c:v>806311.14323896647</c:v>
                </c:pt>
                <c:pt idx="3">
                  <c:v>758228.62570541527</c:v>
                </c:pt>
                <c:pt idx="4">
                  <c:v>712988.30072262138</c:v>
                </c:pt>
                <c:pt idx="5">
                  <c:v>670427.74037231039</c:v>
                </c:pt>
                <c:pt idx="6">
                  <c:v>630392.98588352045</c:v>
                </c:pt>
                <c:pt idx="7">
                  <c:v>592738.21342932701</c:v>
                </c:pt>
                <c:pt idx="8">
                  <c:v>548620.36595426442</c:v>
                </c:pt>
                <c:pt idx="9">
                  <c:v>507753.48375890194</c:v>
                </c:pt>
                <c:pt idx="10">
                  <c:v>469901.53572597768</c:v>
                </c:pt>
                <c:pt idx="11">
                  <c:v>434845.25042345852</c:v>
                </c:pt>
                <c:pt idx="12">
                  <c:v>402380.96645188896</c:v>
                </c:pt>
                <c:pt idx="13">
                  <c:v>372319.55726862716</c:v>
                </c:pt>
                <c:pt idx="14">
                  <c:v>344485.42615385348</c:v>
                </c:pt>
                <c:pt idx="15">
                  <c:v>318715.56717793789</c:v>
                </c:pt>
                <c:pt idx="16">
                  <c:v>294858.68822321802</c:v>
                </c:pt>
                <c:pt idx="17">
                  <c:v>272774.39230425592</c:v>
                </c:pt>
                <c:pt idx="18">
                  <c:v>252332.41361811978</c:v>
                </c:pt>
                <c:pt idx="19">
                  <c:v>233411.9049393842</c:v>
                </c:pt>
                <c:pt idx="20">
                  <c:v>215900.77315267042</c:v>
                </c:pt>
              </c:numCache>
            </c:numRef>
          </c:val>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numRef>
              <c:f>'5. анализ эконом эфф'!$B$67:$AD$67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эфф'!$B$80:$V$80</c:f>
              <c:numCache>
                <c:formatCode>_-* #,##0\ _₽_-;\-* #,##0\ _₽_-;_-* "-"\ _₽_-;_-@_-</c:formatCode>
                <c:ptCount val="21"/>
                <c:pt idx="0">
                  <c:v>-7510204.5794000002</c:v>
                </c:pt>
                <c:pt idx="1">
                  <c:v>-8817105.6945705451</c:v>
                </c:pt>
                <c:pt idx="2">
                  <c:v>-8010794.5513315788</c:v>
                </c:pt>
                <c:pt idx="3">
                  <c:v>-7252565.9256261634</c:v>
                </c:pt>
                <c:pt idx="4">
                  <c:v>-6539577.624903542</c:v>
                </c:pt>
                <c:pt idx="5">
                  <c:v>-5869149.8845312316</c:v>
                </c:pt>
                <c:pt idx="6">
                  <c:v>-5238756.8986477107</c:v>
                </c:pt>
                <c:pt idx="7">
                  <c:v>-4646018.6852183836</c:v>
                </c:pt>
                <c:pt idx="8">
                  <c:v>-4097398.319264119</c:v>
                </c:pt>
                <c:pt idx="9">
                  <c:v>-3589644.8355052173</c:v>
                </c:pt>
                <c:pt idx="10">
                  <c:v>-3119743.2997792396</c:v>
                </c:pt>
                <c:pt idx="11">
                  <c:v>-2684898.0493557812</c:v>
                </c:pt>
                <c:pt idx="12">
                  <c:v>-2282517.0829038923</c:v>
                </c:pt>
                <c:pt idx="13">
                  <c:v>-1910197.525635265</c:v>
                </c:pt>
                <c:pt idx="14">
                  <c:v>-1565712.0994814115</c:v>
                </c:pt>
                <c:pt idx="15">
                  <c:v>-1246996.5323034737</c:v>
                </c:pt>
                <c:pt idx="16">
                  <c:v>-952137.8440802556</c:v>
                </c:pt>
                <c:pt idx="17">
                  <c:v>-679363.45177599974</c:v>
                </c:pt>
                <c:pt idx="18">
                  <c:v>-427031.03815787996</c:v>
                </c:pt>
                <c:pt idx="19">
                  <c:v>-193619.13321849576</c:v>
                </c:pt>
                <c:pt idx="20">
                  <c:v>22281.639934174658</c:v>
                </c:pt>
              </c:numCache>
            </c:numRef>
          </c:val>
        </c:ser>
        <c:marker val="1"/>
        <c:axId val="125247488"/>
        <c:axId val="125249024"/>
      </c:lineChart>
      <c:catAx>
        <c:axId val="125247488"/>
        <c:scaling>
          <c:orientation val="minMax"/>
        </c:scaling>
        <c:axPos val="b"/>
        <c:numFmt formatCode="0"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25249024"/>
        <c:crosses val="autoZero"/>
        <c:auto val="1"/>
        <c:lblAlgn val="ctr"/>
        <c:lblOffset val="100"/>
      </c:catAx>
      <c:valAx>
        <c:axId val="125249024"/>
        <c:scaling>
          <c:orientation val="minMax"/>
        </c:scaling>
        <c:axPos val="l"/>
        <c:majorGridlines/>
        <c:numFmt formatCode="_-* #,##0\ _₽_-;\-* #,##0\ _₽_-;_-* &quot;-&quot;\ _₽_-;_-@_-"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25247488"/>
        <c:crosses val="autoZero"/>
        <c:crossBetween val="between"/>
      </c:valAx>
    </c:plotArea>
    <c:legend>
      <c:legendPos val="r"/>
      <c:layout>
        <c:manualLayout>
          <c:xMode val="edge"/>
          <c:yMode val="edge"/>
          <c:x val="0.33146067415730907"/>
          <c:y val="0.90145157387241459"/>
          <c:w val="0.356179775280904"/>
          <c:h val="7.2464027102995904E-2"/>
        </c:manualLayout>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66" l="0.70000000000000062" r="0.70000000000000062" t="0.75000000000000766"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40821</xdr:colOff>
      <xdr:row>23</xdr:row>
      <xdr:rowOff>76199</xdr:rowOff>
    </xdr:from>
    <xdr:to>
      <xdr:col>8</xdr:col>
      <xdr:colOff>149679</xdr:colOff>
      <xdr:row>37</xdr:row>
      <xdr:rowOff>149677</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tabSelected="1" view="pageBreakPreview" zoomScale="85" zoomScaleSheetLayoutView="85" workbookViewId="0">
      <selection activeCell="C18" sqref="C18"/>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88" t="s">
        <v>585</v>
      </c>
      <c r="B1" s="388"/>
      <c r="C1" s="388"/>
      <c r="D1" s="65"/>
      <c r="E1" s="65"/>
      <c r="F1" s="65"/>
      <c r="G1" s="65"/>
      <c r="H1" s="65"/>
      <c r="I1" s="65"/>
      <c r="J1" s="65"/>
    </row>
    <row r="2" spans="1:22" s="10" customFormat="1" ht="18.75">
      <c r="A2" s="15"/>
      <c r="F2" s="14"/>
      <c r="G2" s="14"/>
      <c r="H2" s="13"/>
    </row>
    <row r="3" spans="1:22" s="10" customFormat="1" ht="18.75">
      <c r="A3" s="391" t="s">
        <v>9</v>
      </c>
      <c r="B3" s="391"/>
      <c r="C3" s="39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92" t="s">
        <v>557</v>
      </c>
      <c r="B5" s="392"/>
      <c r="C5" s="392"/>
      <c r="D5" s="6"/>
      <c r="E5" s="6"/>
      <c r="F5" s="6"/>
      <c r="G5" s="6"/>
      <c r="H5" s="6"/>
      <c r="I5" s="11"/>
      <c r="J5" s="11"/>
      <c r="K5" s="11"/>
      <c r="L5" s="11"/>
      <c r="M5" s="11"/>
      <c r="N5" s="11"/>
      <c r="O5" s="11"/>
      <c r="P5" s="11"/>
      <c r="Q5" s="11"/>
      <c r="R5" s="11"/>
      <c r="S5" s="11"/>
      <c r="T5" s="11"/>
      <c r="U5" s="11"/>
      <c r="V5" s="11"/>
    </row>
    <row r="6" spans="1:22" s="10" customFormat="1" ht="18.75">
      <c r="A6" s="389" t="s">
        <v>8</v>
      </c>
      <c r="B6" s="389"/>
      <c r="C6" s="38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93" t="s">
        <v>571</v>
      </c>
      <c r="B8" s="393"/>
      <c r="C8" s="393"/>
      <c r="D8" s="6"/>
      <c r="E8" s="6"/>
      <c r="F8" s="6"/>
      <c r="G8" s="6"/>
      <c r="H8" s="6"/>
      <c r="I8" s="11"/>
      <c r="J8" s="11"/>
      <c r="K8" s="11"/>
      <c r="L8" s="11"/>
      <c r="M8" s="11"/>
      <c r="N8" s="11"/>
      <c r="O8" s="11"/>
      <c r="P8" s="11"/>
      <c r="Q8" s="11"/>
      <c r="R8" s="11"/>
      <c r="S8" s="11"/>
      <c r="T8" s="11"/>
      <c r="U8" s="11"/>
      <c r="V8" s="11"/>
    </row>
    <row r="9" spans="1:22" s="10" customFormat="1" ht="18.75">
      <c r="A9" s="389" t="s">
        <v>7</v>
      </c>
      <c r="B9" s="389"/>
      <c r="C9" s="38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48.75" customHeight="1">
      <c r="A11" s="394" t="s">
        <v>570</v>
      </c>
      <c r="B11" s="394"/>
      <c r="C11" s="394"/>
      <c r="D11" s="360"/>
      <c r="E11" s="360"/>
      <c r="F11" s="360"/>
      <c r="G11" s="360"/>
      <c r="H11" s="360"/>
      <c r="I11" s="360"/>
      <c r="J11" s="360"/>
      <c r="K11" s="360"/>
      <c r="L11" s="360"/>
      <c r="M11" s="360"/>
      <c r="N11" s="360"/>
      <c r="O11" s="360"/>
      <c r="P11" s="360"/>
      <c r="Q11" s="360"/>
      <c r="R11" s="360"/>
      <c r="S11" s="360"/>
      <c r="T11" s="360"/>
      <c r="U11" s="360"/>
      <c r="V11" s="360"/>
    </row>
    <row r="12" spans="1:22" s="2" customFormat="1" ht="15" customHeight="1">
      <c r="A12" s="389" t="s">
        <v>5</v>
      </c>
      <c r="B12" s="389"/>
      <c r="C12" s="389"/>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390" t="s">
        <v>217</v>
      </c>
      <c r="B14" s="390"/>
      <c r="C14" s="390"/>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4" t="s">
        <v>4</v>
      </c>
      <c r="B16" s="96"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 r="A18" s="121" t="s">
        <v>21</v>
      </c>
      <c r="B18" s="122" t="s">
        <v>130</v>
      </c>
      <c r="C18" s="123" t="s">
        <v>551</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560</v>
      </c>
      <c r="C19" s="117" t="s">
        <v>584</v>
      </c>
      <c r="D19" s="19" t="s">
        <v>547</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172</v>
      </c>
      <c r="C20" s="118" t="s">
        <v>554</v>
      </c>
      <c r="D20" s="23"/>
      <c r="E20" s="23"/>
      <c r="F20" s="23"/>
      <c r="G20" s="23"/>
      <c r="H20" s="22"/>
      <c r="I20" s="22"/>
      <c r="J20" s="22"/>
      <c r="K20" s="22"/>
      <c r="L20" s="22"/>
      <c r="M20" s="22"/>
      <c r="N20" s="22"/>
      <c r="O20" s="22"/>
      <c r="P20" s="22"/>
      <c r="Q20" s="22"/>
      <c r="R20" s="22"/>
      <c r="S20" s="21"/>
      <c r="T20" s="21"/>
      <c r="U20" s="21"/>
      <c r="V20" s="21"/>
    </row>
    <row r="21" spans="1:22" s="20" customFormat="1" ht="33">
      <c r="A21" s="361" t="s">
        <v>18</v>
      </c>
      <c r="B21" s="362" t="s">
        <v>29</v>
      </c>
      <c r="C21" s="363" t="s">
        <v>549</v>
      </c>
      <c r="D21" s="23"/>
      <c r="E21" s="23"/>
      <c r="F21" s="23"/>
      <c r="G21" s="23"/>
      <c r="H21" s="22"/>
      <c r="I21" s="22"/>
      <c r="J21" s="22"/>
      <c r="K21" s="22"/>
      <c r="L21" s="22"/>
      <c r="M21" s="22"/>
      <c r="N21" s="22"/>
      <c r="O21" s="22"/>
      <c r="P21" s="22"/>
      <c r="Q21" s="22"/>
      <c r="R21" s="22"/>
      <c r="S21" s="21"/>
      <c r="T21" s="21"/>
      <c r="U21" s="21"/>
      <c r="V21" s="21"/>
    </row>
    <row r="22" spans="1:22" s="20" customFormat="1" ht="33">
      <c r="A22" s="361" t="s">
        <v>16</v>
      </c>
      <c r="B22" s="362" t="s">
        <v>28</v>
      </c>
      <c r="C22" s="363" t="s">
        <v>550</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173</v>
      </c>
      <c r="C23" s="118" t="s">
        <v>552</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174</v>
      </c>
      <c r="C24" s="118" t="s">
        <v>552</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175</v>
      </c>
      <c r="C25" s="118" t="s">
        <v>552</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176</v>
      </c>
      <c r="C26" s="118" t="s">
        <v>552</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177</v>
      </c>
      <c r="C27" s="118" t="s">
        <v>552</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178</v>
      </c>
      <c r="C28" s="118" t="s">
        <v>553</v>
      </c>
      <c r="D28" s="23"/>
      <c r="E28" s="23"/>
      <c r="F28" s="23"/>
      <c r="G28" s="23"/>
      <c r="H28" s="22"/>
      <c r="I28" s="22"/>
      <c r="J28" s="22"/>
      <c r="K28" s="22"/>
      <c r="L28" s="22"/>
      <c r="M28" s="22"/>
      <c r="N28" s="22"/>
      <c r="O28" s="22"/>
      <c r="P28" s="22"/>
      <c r="Q28" s="22"/>
      <c r="R28" s="22"/>
      <c r="S28" s="21"/>
      <c r="T28" s="21"/>
      <c r="U28" s="21"/>
      <c r="V28" s="21"/>
    </row>
    <row r="29" spans="1:22" ht="82.5">
      <c r="A29" s="99" t="s">
        <v>190</v>
      </c>
      <c r="B29" s="101" t="s">
        <v>179</v>
      </c>
      <c r="C29" s="118" t="s">
        <v>552</v>
      </c>
      <c r="D29" s="16"/>
      <c r="E29" s="16"/>
      <c r="F29" s="16"/>
      <c r="G29" s="16"/>
      <c r="H29" s="16"/>
      <c r="I29" s="16"/>
      <c r="J29" s="16"/>
      <c r="K29" s="16"/>
      <c r="L29" s="16"/>
      <c r="M29" s="16"/>
      <c r="N29" s="16"/>
      <c r="O29" s="16"/>
      <c r="P29" s="16"/>
      <c r="Q29" s="16"/>
      <c r="R29" s="16"/>
      <c r="S29" s="16"/>
      <c r="T29" s="16"/>
      <c r="U29" s="16"/>
      <c r="V29" s="16"/>
    </row>
    <row r="30" spans="1:22" ht="49.5">
      <c r="A30" s="99" t="s">
        <v>182</v>
      </c>
      <c r="B30" s="101" t="s">
        <v>26</v>
      </c>
      <c r="C30" s="118" t="s">
        <v>552</v>
      </c>
      <c r="D30" s="16"/>
      <c r="E30" s="16"/>
      <c r="F30" s="16"/>
      <c r="G30" s="16"/>
      <c r="H30" s="16"/>
      <c r="I30" s="16"/>
      <c r="J30" s="16"/>
      <c r="K30" s="16"/>
      <c r="L30" s="16"/>
      <c r="M30" s="16"/>
      <c r="N30" s="16"/>
      <c r="O30" s="16"/>
      <c r="P30" s="16"/>
      <c r="Q30" s="16"/>
      <c r="R30" s="16"/>
      <c r="S30" s="16"/>
      <c r="T30" s="16"/>
      <c r="U30" s="16"/>
      <c r="V30" s="16"/>
    </row>
    <row r="31" spans="1:22" ht="33">
      <c r="A31" s="99" t="s">
        <v>191</v>
      </c>
      <c r="B31" s="101" t="s">
        <v>180</v>
      </c>
      <c r="C31" s="119" t="s">
        <v>136</v>
      </c>
      <c r="D31" s="16"/>
      <c r="E31" s="16"/>
      <c r="F31" s="16"/>
      <c r="G31" s="16"/>
      <c r="H31" s="16"/>
      <c r="I31" s="16"/>
      <c r="J31" s="16"/>
      <c r="K31" s="16"/>
      <c r="L31" s="16"/>
      <c r="M31" s="16"/>
      <c r="N31" s="16"/>
      <c r="O31" s="16"/>
      <c r="P31" s="16"/>
      <c r="Q31" s="16"/>
      <c r="R31" s="16"/>
      <c r="S31" s="16"/>
      <c r="T31" s="16"/>
      <c r="U31" s="16"/>
      <c r="V31" s="16"/>
    </row>
    <row r="32" spans="1:22" ht="16.5">
      <c r="A32" s="99" t="s">
        <v>183</v>
      </c>
      <c r="B32" s="101" t="s">
        <v>181</v>
      </c>
      <c r="C32" s="119" t="s">
        <v>136</v>
      </c>
      <c r="D32" s="16"/>
      <c r="E32" s="16"/>
      <c r="F32" s="16"/>
      <c r="G32" s="16"/>
      <c r="H32" s="16"/>
      <c r="I32" s="16"/>
      <c r="J32" s="16"/>
      <c r="K32" s="16"/>
      <c r="L32" s="16"/>
      <c r="M32" s="16"/>
      <c r="N32" s="16"/>
      <c r="O32" s="16"/>
      <c r="P32" s="16"/>
      <c r="Q32" s="16"/>
      <c r="R32" s="16"/>
      <c r="S32" s="16"/>
      <c r="T32" s="16"/>
      <c r="U32" s="16"/>
      <c r="V32" s="16"/>
    </row>
    <row r="33" spans="1:22" ht="23.25" customHeight="1">
      <c r="A33" s="99" t="s">
        <v>192</v>
      </c>
      <c r="B33" s="101" t="s">
        <v>119</v>
      </c>
      <c r="C33" s="118" t="s">
        <v>552</v>
      </c>
      <c r="D33" s="16"/>
      <c r="E33" s="16"/>
      <c r="F33" s="16"/>
      <c r="G33" s="16"/>
      <c r="H33" s="16"/>
      <c r="I33" s="16"/>
      <c r="J33" s="16"/>
      <c r="K33" s="16"/>
      <c r="L33" s="16"/>
      <c r="M33" s="16"/>
      <c r="N33" s="16"/>
      <c r="O33" s="16"/>
      <c r="P33" s="16"/>
      <c r="Q33" s="16"/>
      <c r="R33" s="16"/>
      <c r="S33" s="16"/>
      <c r="T33" s="16"/>
      <c r="U33" s="16"/>
      <c r="V33" s="16"/>
    </row>
    <row r="34" spans="1:22" ht="15.75">
      <c r="A34" s="383"/>
      <c r="B34" s="384"/>
      <c r="C34" s="385"/>
      <c r="D34" s="16"/>
      <c r="E34" s="16"/>
      <c r="F34" s="16"/>
      <c r="G34" s="16"/>
      <c r="H34" s="16"/>
      <c r="I34" s="16"/>
      <c r="J34" s="16"/>
      <c r="K34" s="16"/>
      <c r="L34" s="16"/>
      <c r="M34" s="16"/>
      <c r="N34" s="16"/>
      <c r="O34" s="16"/>
      <c r="P34" s="16"/>
      <c r="Q34" s="16"/>
      <c r="R34" s="16"/>
      <c r="S34" s="16"/>
      <c r="T34" s="16"/>
      <c r="U34" s="16"/>
      <c r="V34" s="16"/>
    </row>
    <row r="35" spans="1:22" s="365" customFormat="1" ht="49.5">
      <c r="A35" s="361" t="s">
        <v>184</v>
      </c>
      <c r="B35" s="362" t="s">
        <v>227</v>
      </c>
      <c r="C35" s="363" t="s">
        <v>582</v>
      </c>
      <c r="D35" s="364"/>
      <c r="E35" s="364"/>
      <c r="F35" s="364"/>
      <c r="G35" s="364"/>
      <c r="H35" s="364"/>
      <c r="I35" s="364"/>
      <c r="J35" s="364"/>
      <c r="K35" s="364"/>
      <c r="L35" s="364"/>
      <c r="M35" s="364"/>
      <c r="N35" s="364"/>
      <c r="O35" s="364"/>
      <c r="P35" s="364"/>
      <c r="Q35" s="364"/>
      <c r="R35" s="364"/>
      <c r="S35" s="364"/>
      <c r="T35" s="364"/>
      <c r="U35" s="364"/>
      <c r="V35" s="364"/>
    </row>
    <row r="36" spans="1:22" ht="82.5">
      <c r="A36" s="99" t="s">
        <v>193</v>
      </c>
      <c r="B36" s="101" t="s">
        <v>214</v>
      </c>
      <c r="C36" s="119" t="s">
        <v>546</v>
      </c>
      <c r="D36" s="16"/>
      <c r="E36" s="16"/>
      <c r="F36" s="16"/>
      <c r="G36" s="16"/>
      <c r="H36" s="16"/>
      <c r="I36" s="16"/>
      <c r="J36" s="16"/>
      <c r="K36" s="16"/>
      <c r="L36" s="16"/>
      <c r="M36" s="16"/>
      <c r="N36" s="16"/>
      <c r="O36" s="16"/>
      <c r="P36" s="16"/>
      <c r="Q36" s="16"/>
      <c r="R36" s="16"/>
      <c r="S36" s="16"/>
      <c r="T36" s="16"/>
      <c r="U36" s="16"/>
      <c r="V36" s="16"/>
    </row>
    <row r="37" spans="1:22" ht="66">
      <c r="A37" s="99" t="s">
        <v>185</v>
      </c>
      <c r="B37" s="101" t="s">
        <v>224</v>
      </c>
      <c r="C37" s="119" t="s">
        <v>546</v>
      </c>
      <c r="D37" s="16"/>
      <c r="E37" s="16"/>
      <c r="F37" s="16"/>
      <c r="G37" s="16"/>
      <c r="H37" s="16"/>
      <c r="I37" s="16"/>
      <c r="J37" s="16"/>
      <c r="K37" s="16"/>
      <c r="L37" s="16"/>
      <c r="M37" s="16"/>
      <c r="N37" s="16"/>
      <c r="O37" s="16"/>
      <c r="P37" s="16"/>
      <c r="Q37" s="16"/>
      <c r="R37" s="16"/>
      <c r="S37" s="16"/>
      <c r="T37" s="16"/>
      <c r="U37" s="16"/>
      <c r="V37" s="16"/>
    </row>
    <row r="38" spans="1:22" ht="148.5">
      <c r="A38" s="99" t="s">
        <v>196</v>
      </c>
      <c r="B38" s="101" t="s">
        <v>197</v>
      </c>
      <c r="C38" s="119" t="s">
        <v>136</v>
      </c>
      <c r="D38" s="16"/>
      <c r="E38" s="16"/>
      <c r="F38" s="16"/>
      <c r="G38" s="16"/>
      <c r="H38" s="16"/>
      <c r="I38" s="16"/>
      <c r="J38" s="16"/>
      <c r="K38" s="16"/>
      <c r="L38" s="16"/>
      <c r="M38" s="16"/>
      <c r="N38" s="16"/>
      <c r="O38" s="16"/>
      <c r="P38" s="16"/>
      <c r="Q38" s="16"/>
      <c r="R38" s="16"/>
      <c r="S38" s="16"/>
      <c r="T38" s="16"/>
      <c r="U38" s="16"/>
      <c r="V38" s="16"/>
    </row>
    <row r="39" spans="1:22" s="365" customFormat="1" ht="82.5">
      <c r="A39" s="361" t="s">
        <v>186</v>
      </c>
      <c r="B39" s="362" t="s">
        <v>218</v>
      </c>
      <c r="C39" s="363" t="s">
        <v>582</v>
      </c>
      <c r="D39" s="364"/>
      <c r="E39" s="364"/>
      <c r="F39" s="364"/>
      <c r="G39" s="364"/>
      <c r="H39" s="364"/>
      <c r="I39" s="364"/>
      <c r="J39" s="364"/>
      <c r="K39" s="364"/>
      <c r="L39" s="364"/>
      <c r="M39" s="364"/>
      <c r="N39" s="364"/>
      <c r="O39" s="364"/>
      <c r="P39" s="364"/>
      <c r="Q39" s="364"/>
      <c r="R39" s="364"/>
      <c r="S39" s="364"/>
      <c r="T39" s="364"/>
      <c r="U39" s="364"/>
      <c r="V39" s="364"/>
    </row>
    <row r="40" spans="1:22" ht="82.5">
      <c r="A40" s="99" t="s">
        <v>215</v>
      </c>
      <c r="B40" s="101" t="s">
        <v>219</v>
      </c>
      <c r="C40" s="119" t="s">
        <v>136</v>
      </c>
      <c r="D40" s="16"/>
      <c r="E40" s="16"/>
      <c r="F40" s="16"/>
      <c r="G40" s="16"/>
      <c r="H40" s="16"/>
      <c r="I40" s="16"/>
      <c r="J40" s="16"/>
      <c r="K40" s="16"/>
      <c r="L40" s="16"/>
      <c r="M40" s="16"/>
      <c r="N40" s="16"/>
      <c r="O40" s="16"/>
      <c r="P40" s="16"/>
      <c r="Q40" s="16"/>
      <c r="R40" s="16"/>
      <c r="S40" s="16"/>
      <c r="T40" s="16"/>
      <c r="U40" s="16"/>
      <c r="V40" s="16"/>
    </row>
    <row r="41" spans="1:22" ht="83.25" thickBot="1">
      <c r="A41" s="102" t="s">
        <v>187</v>
      </c>
      <c r="B41" s="103" t="s">
        <v>220</v>
      </c>
      <c r="C41" s="120" t="s">
        <v>136</v>
      </c>
      <c r="D41" s="16"/>
      <c r="E41" s="16"/>
      <c r="F41" s="16"/>
      <c r="G41" s="16"/>
      <c r="H41" s="16"/>
      <c r="I41" s="16"/>
      <c r="J41" s="16"/>
      <c r="K41" s="16"/>
      <c r="L41" s="16"/>
      <c r="M41" s="16"/>
      <c r="N41" s="16"/>
      <c r="O41" s="16"/>
      <c r="P41" s="16"/>
      <c r="Q41" s="16"/>
      <c r="R41" s="16"/>
      <c r="S41" s="16"/>
      <c r="T41" s="16"/>
      <c r="U41" s="16"/>
      <c r="V41" s="16"/>
    </row>
    <row r="42" spans="1:22" ht="16.5" thickBot="1">
      <c r="A42" s="386"/>
      <c r="B42" s="387"/>
      <c r="C42" s="387"/>
      <c r="D42" s="16"/>
      <c r="E42" s="16"/>
      <c r="F42" s="16"/>
      <c r="G42" s="16"/>
      <c r="H42" s="16"/>
      <c r="I42" s="16"/>
      <c r="J42" s="16"/>
      <c r="K42" s="16"/>
      <c r="L42" s="16"/>
      <c r="M42" s="16"/>
      <c r="N42" s="16"/>
      <c r="O42" s="16"/>
      <c r="P42" s="16"/>
      <c r="Q42" s="16"/>
      <c r="R42" s="16"/>
      <c r="S42" s="16"/>
      <c r="T42" s="16"/>
      <c r="U42" s="16"/>
      <c r="V42" s="16"/>
    </row>
    <row r="43" spans="1:22" s="365" customFormat="1" ht="49.5">
      <c r="A43" s="366" t="s">
        <v>216</v>
      </c>
      <c r="B43" s="367" t="s">
        <v>225</v>
      </c>
      <c r="C43" s="368">
        <v>1.7</v>
      </c>
      <c r="D43" s="364"/>
      <c r="E43" s="364"/>
      <c r="F43" s="364"/>
      <c r="G43" s="364"/>
      <c r="H43" s="364"/>
      <c r="I43" s="364"/>
      <c r="J43" s="364"/>
      <c r="K43" s="364"/>
      <c r="L43" s="364"/>
      <c r="M43" s="364"/>
      <c r="N43" s="364"/>
      <c r="O43" s="364"/>
      <c r="P43" s="364"/>
      <c r="Q43" s="364"/>
      <c r="R43" s="364"/>
      <c r="S43" s="364"/>
      <c r="T43" s="364"/>
      <c r="U43" s="364"/>
      <c r="V43" s="364"/>
    </row>
    <row r="44" spans="1:22" s="365" customFormat="1" ht="50.25" thickBot="1">
      <c r="A44" s="369" t="s">
        <v>188</v>
      </c>
      <c r="B44" s="370" t="s">
        <v>226</v>
      </c>
      <c r="C44" s="379">
        <v>1.42</v>
      </c>
      <c r="D44" s="364"/>
      <c r="E44" s="364"/>
      <c r="F44" s="364"/>
      <c r="G44" s="364"/>
      <c r="H44" s="364"/>
      <c r="I44" s="364"/>
      <c r="J44" s="364"/>
      <c r="K44" s="364"/>
      <c r="L44" s="364"/>
      <c r="M44" s="364"/>
      <c r="N44" s="364"/>
      <c r="O44" s="364"/>
      <c r="P44" s="364"/>
      <c r="Q44" s="364"/>
      <c r="R44" s="364"/>
      <c r="S44" s="364"/>
      <c r="T44" s="364"/>
      <c r="U44" s="364"/>
      <c r="V44" s="364"/>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49"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14" zoomScale="70" zoomScaleNormal="70" zoomScaleSheetLayoutView="70" workbookViewId="0">
      <pane xSplit="8" ySplit="6" topLeftCell="I36" activePane="bottomRight" state="frozen"/>
      <selection activeCell="A14" sqref="A14"/>
      <selection pane="topRight" activeCell="I14" sqref="I14"/>
      <selection pane="bottomLeft" activeCell="A20" sqref="A20"/>
      <selection pane="bottomRight" activeCell="L26" sqref="L26"/>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c r="AB1" s="388"/>
      <c r="AC1" s="388"/>
    </row>
    <row r="2" spans="1:32">
      <c r="AC2" s="282"/>
    </row>
    <row r="3" spans="1:32">
      <c r="A3" s="470" t="s">
        <v>9</v>
      </c>
      <c r="B3" s="470"/>
      <c r="C3" s="470"/>
      <c r="D3" s="470"/>
      <c r="E3" s="470"/>
      <c r="F3" s="470"/>
      <c r="G3" s="470"/>
      <c r="H3" s="470"/>
      <c r="I3" s="470"/>
      <c r="J3" s="470"/>
      <c r="K3" s="470"/>
      <c r="L3" s="470"/>
      <c r="M3" s="470"/>
      <c r="N3" s="470"/>
      <c r="O3" s="470"/>
      <c r="P3" s="470"/>
      <c r="Q3" s="470"/>
      <c r="R3" s="470"/>
      <c r="S3" s="470"/>
      <c r="T3" s="470"/>
      <c r="U3" s="470"/>
      <c r="V3" s="470"/>
      <c r="W3" s="470"/>
      <c r="X3" s="470"/>
      <c r="Y3" s="470"/>
      <c r="Z3" s="470"/>
      <c r="AA3" s="470"/>
      <c r="AB3" s="470"/>
      <c r="AC3" s="470"/>
    </row>
    <row r="4" spans="1:32" ht="24.75" customHeight="1">
      <c r="A4" s="328"/>
      <c r="B4" s="328"/>
      <c r="C4" s="328"/>
      <c r="D4" s="328"/>
      <c r="E4" s="328"/>
      <c r="F4" s="328"/>
      <c r="G4" s="328"/>
      <c r="H4" s="328"/>
      <c r="I4" s="328"/>
      <c r="J4" s="238"/>
      <c r="K4" s="238"/>
      <c r="L4" s="238"/>
      <c r="M4" s="238"/>
      <c r="N4" s="238"/>
      <c r="O4" s="238"/>
      <c r="P4" s="238"/>
      <c r="Q4" s="238"/>
      <c r="R4" s="238"/>
      <c r="S4" s="238"/>
      <c r="T4" s="238"/>
      <c r="U4" s="238"/>
      <c r="V4" s="238"/>
      <c r="W4" s="238"/>
      <c r="X4" s="238"/>
      <c r="Y4" s="238"/>
      <c r="Z4" s="238"/>
      <c r="AA4" s="238"/>
      <c r="AB4" s="238"/>
      <c r="AC4" s="238"/>
    </row>
    <row r="5" spans="1:32">
      <c r="A5" s="3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2"/>
      <c r="C5" s="392"/>
      <c r="D5" s="392"/>
      <c r="E5" s="392"/>
      <c r="F5" s="392"/>
      <c r="G5" s="392"/>
      <c r="H5" s="392"/>
      <c r="I5" s="392"/>
      <c r="J5" s="392"/>
      <c r="K5" s="392"/>
      <c r="L5" s="392"/>
      <c r="M5" s="392"/>
      <c r="N5" s="392"/>
      <c r="O5" s="392"/>
      <c r="P5" s="392"/>
      <c r="Q5" s="392"/>
      <c r="R5" s="392"/>
      <c r="S5" s="392"/>
      <c r="T5" s="392"/>
      <c r="U5" s="392"/>
      <c r="V5" s="392"/>
      <c r="W5" s="392"/>
      <c r="X5" s="392"/>
      <c r="Y5" s="392"/>
      <c r="Z5" s="392"/>
      <c r="AA5" s="392"/>
      <c r="AB5" s="392"/>
      <c r="AC5" s="392"/>
    </row>
    <row r="6" spans="1:32" ht="18.75" customHeight="1">
      <c r="A6" s="459" t="s">
        <v>8</v>
      </c>
      <c r="B6" s="459"/>
      <c r="C6" s="459"/>
      <c r="D6" s="459"/>
      <c r="E6" s="459"/>
      <c r="F6" s="459"/>
      <c r="G6" s="459"/>
      <c r="H6" s="459"/>
      <c r="I6" s="459"/>
      <c r="J6" s="459"/>
      <c r="K6" s="459"/>
      <c r="L6" s="459"/>
      <c r="M6" s="459"/>
      <c r="N6" s="459"/>
      <c r="O6" s="459"/>
      <c r="P6" s="459"/>
      <c r="Q6" s="459"/>
      <c r="R6" s="459"/>
      <c r="S6" s="459"/>
      <c r="T6" s="459"/>
      <c r="U6" s="459"/>
      <c r="V6" s="459"/>
      <c r="W6" s="459"/>
      <c r="X6" s="459"/>
      <c r="Y6" s="459"/>
      <c r="Z6" s="459"/>
      <c r="AA6" s="459"/>
      <c r="AB6" s="459"/>
      <c r="AC6" s="459"/>
    </row>
    <row r="7" spans="1:32">
      <c r="A7" s="328"/>
      <c r="B7" s="328"/>
      <c r="C7" s="328"/>
      <c r="D7" s="328"/>
      <c r="E7" s="328"/>
      <c r="F7" s="328"/>
      <c r="G7" s="328"/>
      <c r="H7" s="328"/>
      <c r="I7" s="328"/>
      <c r="J7" s="238"/>
      <c r="K7" s="238"/>
      <c r="L7" s="238"/>
      <c r="M7" s="238"/>
      <c r="N7" s="238"/>
      <c r="O7" s="238"/>
      <c r="P7" s="238"/>
      <c r="Q7" s="238"/>
      <c r="R7" s="238"/>
      <c r="S7" s="238"/>
      <c r="T7" s="238"/>
      <c r="U7" s="238"/>
      <c r="V7" s="238"/>
      <c r="W7" s="238"/>
      <c r="X7" s="238"/>
      <c r="Y7" s="238"/>
      <c r="Z7" s="238"/>
      <c r="AA7" s="238"/>
      <c r="AB7" s="238"/>
      <c r="AC7" s="238"/>
    </row>
    <row r="8" spans="1:32">
      <c r="A8" s="392" t="str">
        <f>' 1. паспорт местополож'!A8:C8</f>
        <v>J_ДВОСТ-149</v>
      </c>
      <c r="B8" s="392"/>
      <c r="C8" s="392"/>
      <c r="D8" s="392"/>
      <c r="E8" s="392"/>
      <c r="F8" s="392"/>
      <c r="G8" s="392"/>
      <c r="H8" s="392"/>
      <c r="I8" s="392"/>
      <c r="J8" s="392"/>
      <c r="K8" s="392"/>
      <c r="L8" s="392"/>
      <c r="M8" s="392"/>
      <c r="N8" s="392"/>
      <c r="O8" s="392"/>
      <c r="P8" s="392"/>
      <c r="Q8" s="392"/>
      <c r="R8" s="392"/>
      <c r="S8" s="392"/>
      <c r="T8" s="392"/>
      <c r="U8" s="392"/>
      <c r="V8" s="392"/>
      <c r="W8" s="392"/>
      <c r="X8" s="392"/>
      <c r="Y8" s="392"/>
      <c r="Z8" s="392"/>
      <c r="AA8" s="392"/>
      <c r="AB8" s="392"/>
      <c r="AC8" s="392"/>
    </row>
    <row r="9" spans="1:32">
      <c r="A9" s="459" t="s">
        <v>7</v>
      </c>
      <c r="B9" s="459"/>
      <c r="C9" s="459"/>
      <c r="D9" s="459"/>
      <c r="E9" s="459"/>
      <c r="F9" s="459"/>
      <c r="G9" s="459"/>
      <c r="H9" s="459"/>
      <c r="I9" s="459"/>
      <c r="J9" s="459"/>
      <c r="K9" s="459"/>
      <c r="L9" s="459"/>
      <c r="M9" s="459"/>
      <c r="N9" s="459"/>
      <c r="O9" s="459"/>
      <c r="P9" s="459"/>
      <c r="Q9" s="459"/>
      <c r="R9" s="459"/>
      <c r="S9" s="459"/>
      <c r="T9" s="459"/>
      <c r="U9" s="459"/>
      <c r="V9" s="459"/>
      <c r="W9" s="459"/>
      <c r="X9" s="459"/>
      <c r="Y9" s="459"/>
      <c r="Z9" s="459"/>
      <c r="AA9" s="459"/>
      <c r="AB9" s="459"/>
      <c r="AC9" s="459"/>
    </row>
    <row r="10" spans="1:32" ht="16.5" customHeight="1">
      <c r="A10" s="112"/>
      <c r="B10" s="112"/>
      <c r="C10" s="112"/>
      <c r="D10" s="112"/>
      <c r="E10" s="112"/>
      <c r="F10" s="112"/>
      <c r="G10" s="112"/>
      <c r="H10" s="112"/>
      <c r="I10" s="112"/>
      <c r="J10" s="239"/>
      <c r="K10" s="239"/>
      <c r="L10" s="239"/>
      <c r="M10" s="239"/>
      <c r="N10" s="239"/>
      <c r="O10" s="239"/>
      <c r="P10" s="239"/>
      <c r="Q10" s="239"/>
      <c r="R10" s="239"/>
      <c r="S10" s="239"/>
      <c r="T10" s="239"/>
      <c r="U10" s="239"/>
      <c r="V10" s="239"/>
      <c r="W10" s="239"/>
      <c r="X10" s="239"/>
      <c r="Y10" s="239"/>
      <c r="Z10" s="239"/>
      <c r="AA10" s="239"/>
      <c r="AB10" s="239"/>
      <c r="AC10" s="239"/>
    </row>
    <row r="11" spans="1:32">
      <c r="A11" s="392" t="str">
        <f>' 1. паспорт местополож'!A11:C11</f>
        <v xml:space="preserve">Техническое перевооружение объекта "Оборудование кТП-15" ТП-15. </v>
      </c>
      <c r="B11" s="392"/>
      <c r="C11" s="392"/>
      <c r="D11" s="392"/>
      <c r="E11" s="392"/>
      <c r="F11" s="392"/>
      <c r="G11" s="392"/>
      <c r="H11" s="392"/>
      <c r="I11" s="392"/>
      <c r="J11" s="392"/>
      <c r="K11" s="392"/>
      <c r="L11" s="392"/>
      <c r="M11" s="392"/>
      <c r="N11" s="392"/>
      <c r="O11" s="392"/>
      <c r="P11" s="392"/>
      <c r="Q11" s="392"/>
      <c r="R11" s="392"/>
      <c r="S11" s="392"/>
      <c r="T11" s="392"/>
      <c r="U11" s="392"/>
      <c r="V11" s="392"/>
      <c r="W11" s="392"/>
      <c r="X11" s="392"/>
      <c r="Y11" s="392"/>
      <c r="Z11" s="392"/>
      <c r="AA11" s="392"/>
      <c r="AB11" s="392"/>
      <c r="AC11" s="392"/>
    </row>
    <row r="12" spans="1:32" ht="15.75" customHeight="1">
      <c r="A12" s="459" t="s">
        <v>5</v>
      </c>
      <c r="B12" s="459"/>
      <c r="C12" s="459"/>
      <c r="D12" s="459"/>
      <c r="E12" s="459"/>
      <c r="F12" s="459"/>
      <c r="G12" s="459"/>
      <c r="H12" s="459"/>
      <c r="I12" s="459"/>
      <c r="J12" s="459"/>
      <c r="K12" s="459"/>
      <c r="L12" s="459"/>
      <c r="M12" s="459"/>
      <c r="N12" s="459"/>
      <c r="O12" s="459"/>
      <c r="P12" s="459"/>
      <c r="Q12" s="459"/>
      <c r="R12" s="459"/>
      <c r="S12" s="459"/>
      <c r="T12" s="459"/>
      <c r="U12" s="459"/>
      <c r="V12" s="459"/>
      <c r="W12" s="459"/>
      <c r="X12" s="459"/>
      <c r="Y12" s="459"/>
      <c r="Z12" s="459"/>
      <c r="AA12" s="459"/>
      <c r="AB12" s="459"/>
      <c r="AC12" s="459"/>
    </row>
    <row r="13" spans="1:32">
      <c r="A13" s="460"/>
      <c r="B13" s="460"/>
      <c r="C13" s="460"/>
      <c r="D13" s="460"/>
      <c r="E13" s="460"/>
      <c r="F13" s="460"/>
      <c r="G13" s="460"/>
      <c r="H13" s="460"/>
      <c r="I13" s="460"/>
      <c r="J13" s="460"/>
      <c r="K13" s="460"/>
      <c r="L13" s="460"/>
      <c r="M13" s="460"/>
      <c r="N13" s="460"/>
      <c r="O13" s="460"/>
      <c r="P13" s="460"/>
      <c r="Q13" s="460"/>
      <c r="R13" s="460"/>
      <c r="S13" s="460"/>
      <c r="T13" s="460"/>
      <c r="U13" s="460"/>
      <c r="V13" s="460"/>
      <c r="W13" s="460"/>
      <c r="X13" s="460"/>
      <c r="Y13" s="460"/>
      <c r="Z13" s="460"/>
      <c r="AA13" s="460"/>
      <c r="AB13" s="460"/>
      <c r="AC13" s="460"/>
    </row>
    <row r="15" spans="1:32">
      <c r="A15" s="461" t="s">
        <v>318</v>
      </c>
      <c r="B15" s="461"/>
      <c r="C15" s="461"/>
      <c r="D15" s="461"/>
      <c r="E15" s="461"/>
      <c r="F15" s="461"/>
      <c r="G15" s="461"/>
      <c r="H15" s="461"/>
      <c r="I15" s="461"/>
      <c r="J15" s="461"/>
      <c r="K15" s="461"/>
      <c r="L15" s="461"/>
      <c r="M15" s="461"/>
      <c r="N15" s="461"/>
      <c r="O15" s="461"/>
      <c r="P15" s="461"/>
      <c r="Q15" s="461"/>
      <c r="R15" s="461"/>
      <c r="S15" s="461"/>
      <c r="T15" s="461"/>
      <c r="U15" s="461"/>
      <c r="V15" s="461"/>
      <c r="W15" s="461"/>
      <c r="X15" s="461"/>
      <c r="Y15" s="461"/>
      <c r="Z15" s="461"/>
      <c r="AA15" s="461"/>
      <c r="AB15" s="461"/>
      <c r="AC15" s="461"/>
    </row>
    <row r="16" spans="1:32" s="330" customFormat="1" ht="33" customHeight="1">
      <c r="A16" s="462" t="s">
        <v>319</v>
      </c>
      <c r="B16" s="462" t="s">
        <v>320</v>
      </c>
      <c r="C16" s="458" t="s">
        <v>321</v>
      </c>
      <c r="D16" s="458"/>
      <c r="E16" s="465" t="s">
        <v>322</v>
      </c>
      <c r="F16" s="465"/>
      <c r="G16" s="462" t="s">
        <v>581</v>
      </c>
      <c r="H16" s="456">
        <v>2020</v>
      </c>
      <c r="I16" s="457"/>
      <c r="J16" s="457"/>
      <c r="K16" s="457"/>
      <c r="L16" s="456">
        <v>2021</v>
      </c>
      <c r="M16" s="457"/>
      <c r="N16" s="457"/>
      <c r="O16" s="457"/>
      <c r="P16" s="456">
        <v>2022</v>
      </c>
      <c r="Q16" s="457"/>
      <c r="R16" s="457"/>
      <c r="S16" s="457"/>
      <c r="T16" s="456">
        <v>2023</v>
      </c>
      <c r="U16" s="457"/>
      <c r="V16" s="457"/>
      <c r="W16" s="457"/>
      <c r="X16" s="456">
        <v>2024</v>
      </c>
      <c r="Y16" s="457"/>
      <c r="Z16" s="457"/>
      <c r="AA16" s="457"/>
      <c r="AB16" s="466" t="s">
        <v>323</v>
      </c>
      <c r="AC16" s="467"/>
      <c r="AD16" s="329"/>
      <c r="AE16" s="329"/>
      <c r="AF16" s="329"/>
    </row>
    <row r="17" spans="1:29" s="330" customFormat="1" ht="16.5">
      <c r="A17" s="463"/>
      <c r="B17" s="463"/>
      <c r="C17" s="458"/>
      <c r="D17" s="458"/>
      <c r="E17" s="465"/>
      <c r="F17" s="465"/>
      <c r="G17" s="463"/>
      <c r="H17" s="458" t="s">
        <v>1</v>
      </c>
      <c r="I17" s="458"/>
      <c r="J17" s="458" t="s">
        <v>324</v>
      </c>
      <c r="K17" s="458"/>
      <c r="L17" s="458" t="s">
        <v>1</v>
      </c>
      <c r="M17" s="458"/>
      <c r="N17" s="458" t="s">
        <v>324</v>
      </c>
      <c r="O17" s="458"/>
      <c r="P17" s="458" t="s">
        <v>1</v>
      </c>
      <c r="Q17" s="458"/>
      <c r="R17" s="458" t="s">
        <v>324</v>
      </c>
      <c r="S17" s="458"/>
      <c r="T17" s="458" t="s">
        <v>1</v>
      </c>
      <c r="U17" s="458"/>
      <c r="V17" s="458" t="s">
        <v>324</v>
      </c>
      <c r="W17" s="458"/>
      <c r="X17" s="458" t="s">
        <v>1</v>
      </c>
      <c r="Y17" s="458"/>
      <c r="Z17" s="458" t="s">
        <v>324</v>
      </c>
      <c r="AA17" s="458"/>
      <c r="AB17" s="468"/>
      <c r="AC17" s="469"/>
    </row>
    <row r="18" spans="1:29" s="331" customFormat="1" ht="89.25" customHeight="1">
      <c r="A18" s="464"/>
      <c r="B18" s="464"/>
      <c r="C18" s="327" t="s">
        <v>1</v>
      </c>
      <c r="D18" s="327" t="s">
        <v>325</v>
      </c>
      <c r="E18" s="380" t="s">
        <v>579</v>
      </c>
      <c r="F18" s="380" t="s">
        <v>580</v>
      </c>
      <c r="G18" s="464"/>
      <c r="H18" s="240" t="s">
        <v>326</v>
      </c>
      <c r="I18" s="240" t="s">
        <v>327</v>
      </c>
      <c r="J18" s="240" t="s">
        <v>326</v>
      </c>
      <c r="K18" s="240" t="s">
        <v>327</v>
      </c>
      <c r="L18" s="240" t="s">
        <v>326</v>
      </c>
      <c r="M18" s="240" t="s">
        <v>327</v>
      </c>
      <c r="N18" s="240" t="s">
        <v>326</v>
      </c>
      <c r="O18" s="240" t="s">
        <v>327</v>
      </c>
      <c r="P18" s="240" t="s">
        <v>326</v>
      </c>
      <c r="Q18" s="240" t="s">
        <v>327</v>
      </c>
      <c r="R18" s="240" t="s">
        <v>326</v>
      </c>
      <c r="S18" s="240" t="s">
        <v>327</v>
      </c>
      <c r="T18" s="240" t="s">
        <v>326</v>
      </c>
      <c r="U18" s="240" t="s">
        <v>327</v>
      </c>
      <c r="V18" s="240" t="s">
        <v>326</v>
      </c>
      <c r="W18" s="240" t="s">
        <v>327</v>
      </c>
      <c r="X18" s="240" t="s">
        <v>326</v>
      </c>
      <c r="Y18" s="240" t="s">
        <v>327</v>
      </c>
      <c r="Z18" s="240" t="s">
        <v>326</v>
      </c>
      <c r="AA18" s="240" t="s">
        <v>327</v>
      </c>
      <c r="AB18" s="241" t="s">
        <v>328</v>
      </c>
      <c r="AC18" s="241" t="s">
        <v>325</v>
      </c>
    </row>
    <row r="19" spans="1:29" s="332"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33">
      <c r="A20" s="242">
        <v>1</v>
      </c>
      <c r="B20" s="243" t="s">
        <v>329</v>
      </c>
      <c r="C20" s="358">
        <f>C23</f>
        <v>1.7027999999999996</v>
      </c>
      <c r="D20" s="358" t="s">
        <v>244</v>
      </c>
      <c r="E20" s="358">
        <f t="shared" ref="E20:F20" si="0">E23</f>
        <v>1.7027999999999996</v>
      </c>
      <c r="F20" s="358">
        <f t="shared" si="0"/>
        <v>1.7027999999999996</v>
      </c>
      <c r="G20" s="358">
        <f t="shared" ref="G20:AA20" si="1">SUM(G21:G25)</f>
        <v>0</v>
      </c>
      <c r="H20" s="358">
        <v>0</v>
      </c>
      <c r="I20" s="358">
        <f t="shared" si="1"/>
        <v>0</v>
      </c>
      <c r="J20" s="358">
        <f t="shared" si="1"/>
        <v>0</v>
      </c>
      <c r="K20" s="358">
        <f t="shared" si="1"/>
        <v>0</v>
      </c>
      <c r="L20" s="358">
        <f t="shared" si="1"/>
        <v>0.17</v>
      </c>
      <c r="M20" s="358">
        <f t="shared" si="1"/>
        <v>0</v>
      </c>
      <c r="N20" s="358">
        <f t="shared" si="1"/>
        <v>0</v>
      </c>
      <c r="O20" s="358">
        <f t="shared" si="1"/>
        <v>0</v>
      </c>
      <c r="P20" s="358">
        <f t="shared" si="1"/>
        <v>1.5323999999999998</v>
      </c>
      <c r="Q20" s="358">
        <f t="shared" si="1"/>
        <v>0</v>
      </c>
      <c r="R20" s="358">
        <f t="shared" si="1"/>
        <v>0</v>
      </c>
      <c r="S20" s="358">
        <f t="shared" si="1"/>
        <v>0</v>
      </c>
      <c r="T20" s="358">
        <f t="shared" si="1"/>
        <v>0</v>
      </c>
      <c r="U20" s="358">
        <f t="shared" si="1"/>
        <v>0</v>
      </c>
      <c r="V20" s="358">
        <f t="shared" si="1"/>
        <v>0</v>
      </c>
      <c r="W20" s="358">
        <f t="shared" si="1"/>
        <v>0</v>
      </c>
      <c r="X20" s="358">
        <f t="shared" si="1"/>
        <v>0</v>
      </c>
      <c r="Y20" s="358">
        <f t="shared" si="1"/>
        <v>0</v>
      </c>
      <c r="Z20" s="358">
        <f t="shared" si="1"/>
        <v>0</v>
      </c>
      <c r="AA20" s="358">
        <f t="shared" si="1"/>
        <v>0</v>
      </c>
      <c r="AB20" s="358">
        <v>1.7027999999999996</v>
      </c>
      <c r="AC20" s="358" t="s">
        <v>244</v>
      </c>
    </row>
    <row r="21" spans="1:29" ht="16.5">
      <c r="A21" s="244" t="s">
        <v>330</v>
      </c>
      <c r="B21" s="245" t="s">
        <v>331</v>
      </c>
      <c r="C21" s="358">
        <v>0</v>
      </c>
      <c r="D21" s="358" t="s">
        <v>244</v>
      </c>
      <c r="E21" s="358">
        <v>0</v>
      </c>
      <c r="F21" s="358">
        <f t="shared" ref="F21:F60" si="2">G21+H21+L21+P21+T21+X21</f>
        <v>0</v>
      </c>
      <c r="G21" s="358">
        <v>0</v>
      </c>
      <c r="H21" s="358">
        <v>0</v>
      </c>
      <c r="I21" s="358" t="s">
        <v>244</v>
      </c>
      <c r="J21" s="358" t="s">
        <v>244</v>
      </c>
      <c r="K21" s="358" t="s">
        <v>244</v>
      </c>
      <c r="L21" s="358">
        <v>0</v>
      </c>
      <c r="M21" s="358" t="s">
        <v>244</v>
      </c>
      <c r="N21" s="358" t="s">
        <v>244</v>
      </c>
      <c r="O21" s="358" t="s">
        <v>244</v>
      </c>
      <c r="P21" s="358">
        <v>0</v>
      </c>
      <c r="Q21" s="358" t="s">
        <v>244</v>
      </c>
      <c r="R21" s="358" t="s">
        <v>244</v>
      </c>
      <c r="S21" s="358" t="s">
        <v>244</v>
      </c>
      <c r="T21" s="358">
        <v>0</v>
      </c>
      <c r="U21" s="358" t="s">
        <v>244</v>
      </c>
      <c r="V21" s="358" t="s">
        <v>244</v>
      </c>
      <c r="W21" s="358" t="s">
        <v>244</v>
      </c>
      <c r="X21" s="358">
        <v>0</v>
      </c>
      <c r="Y21" s="358" t="s">
        <v>244</v>
      </c>
      <c r="Z21" s="358" t="s">
        <v>244</v>
      </c>
      <c r="AA21" s="358" t="s">
        <v>244</v>
      </c>
      <c r="AB21" s="358">
        <v>0</v>
      </c>
      <c r="AC21" s="358" t="s">
        <v>244</v>
      </c>
    </row>
    <row r="22" spans="1:29" ht="16.5">
      <c r="A22" s="244" t="s">
        <v>332</v>
      </c>
      <c r="B22" s="245" t="s">
        <v>333</v>
      </c>
      <c r="C22" s="358">
        <v>0</v>
      </c>
      <c r="D22" s="358" t="s">
        <v>244</v>
      </c>
      <c r="E22" s="358">
        <v>0</v>
      </c>
      <c r="F22" s="358">
        <f t="shared" si="2"/>
        <v>0</v>
      </c>
      <c r="G22" s="358">
        <v>0</v>
      </c>
      <c r="H22" s="358">
        <v>0</v>
      </c>
      <c r="I22" s="358" t="s">
        <v>244</v>
      </c>
      <c r="J22" s="358" t="s">
        <v>244</v>
      </c>
      <c r="K22" s="358" t="s">
        <v>244</v>
      </c>
      <c r="L22" s="358">
        <v>0</v>
      </c>
      <c r="M22" s="358" t="s">
        <v>244</v>
      </c>
      <c r="N22" s="358" t="s">
        <v>244</v>
      </c>
      <c r="O22" s="358" t="s">
        <v>244</v>
      </c>
      <c r="P22" s="358">
        <v>0</v>
      </c>
      <c r="Q22" s="358" t="s">
        <v>244</v>
      </c>
      <c r="R22" s="358" t="s">
        <v>244</v>
      </c>
      <c r="S22" s="358" t="s">
        <v>244</v>
      </c>
      <c r="T22" s="358">
        <v>0</v>
      </c>
      <c r="U22" s="358" t="s">
        <v>244</v>
      </c>
      <c r="V22" s="358" t="s">
        <v>244</v>
      </c>
      <c r="W22" s="358" t="s">
        <v>244</v>
      </c>
      <c r="X22" s="358">
        <v>0</v>
      </c>
      <c r="Y22" s="358" t="s">
        <v>244</v>
      </c>
      <c r="Z22" s="358" t="s">
        <v>244</v>
      </c>
      <c r="AA22" s="358" t="s">
        <v>244</v>
      </c>
      <c r="AB22" s="358">
        <v>0</v>
      </c>
      <c r="AC22" s="358" t="s">
        <v>244</v>
      </c>
    </row>
    <row r="23" spans="1:29" ht="33">
      <c r="A23" s="244" t="s">
        <v>334</v>
      </c>
      <c r="B23" s="245" t="s">
        <v>335</v>
      </c>
      <c r="C23" s="358">
        <v>1.7027999999999996</v>
      </c>
      <c r="D23" s="358" t="s">
        <v>244</v>
      </c>
      <c r="E23" s="358">
        <v>1.7027999999999996</v>
      </c>
      <c r="F23" s="358">
        <v>1.7027999999999996</v>
      </c>
      <c r="G23" s="358">
        <v>0</v>
      </c>
      <c r="H23" s="358">
        <v>0</v>
      </c>
      <c r="I23" s="358" t="s">
        <v>244</v>
      </c>
      <c r="J23" s="358" t="s">
        <v>244</v>
      </c>
      <c r="K23" s="358" t="s">
        <v>244</v>
      </c>
      <c r="L23" s="359">
        <v>0</v>
      </c>
      <c r="M23" s="358" t="s">
        <v>244</v>
      </c>
      <c r="N23" s="358" t="s">
        <v>244</v>
      </c>
      <c r="O23" s="358" t="s">
        <v>244</v>
      </c>
      <c r="P23" s="359">
        <v>1.5323999999999998</v>
      </c>
      <c r="Q23" s="358" t="s">
        <v>244</v>
      </c>
      <c r="R23" s="358" t="s">
        <v>244</v>
      </c>
      <c r="S23" s="358" t="s">
        <v>244</v>
      </c>
      <c r="T23" s="359">
        <f>T26*1.18</f>
        <v>0</v>
      </c>
      <c r="U23" s="358" t="s">
        <v>244</v>
      </c>
      <c r="V23" s="358" t="s">
        <v>244</v>
      </c>
      <c r="W23" s="358" t="s">
        <v>244</v>
      </c>
      <c r="X23" s="359">
        <f>X26*1.18</f>
        <v>0</v>
      </c>
      <c r="Y23" s="358" t="s">
        <v>244</v>
      </c>
      <c r="Z23" s="358" t="s">
        <v>244</v>
      </c>
      <c r="AA23" s="358" t="s">
        <v>244</v>
      </c>
      <c r="AB23" s="358">
        <v>1.7027999999999996</v>
      </c>
      <c r="AC23" s="358" t="s">
        <v>244</v>
      </c>
    </row>
    <row r="24" spans="1:29" ht="16.5">
      <c r="A24" s="244" t="s">
        <v>336</v>
      </c>
      <c r="B24" s="245" t="s">
        <v>337</v>
      </c>
      <c r="C24" s="358">
        <v>0</v>
      </c>
      <c r="D24" s="358" t="s">
        <v>244</v>
      </c>
      <c r="E24" s="358">
        <v>0</v>
      </c>
      <c r="F24" s="358">
        <f t="shared" si="2"/>
        <v>0</v>
      </c>
      <c r="G24" s="358">
        <v>0</v>
      </c>
      <c r="H24" s="358">
        <v>0</v>
      </c>
      <c r="I24" s="358" t="s">
        <v>244</v>
      </c>
      <c r="J24" s="358" t="s">
        <v>244</v>
      </c>
      <c r="K24" s="358" t="s">
        <v>244</v>
      </c>
      <c r="L24" s="359">
        <v>0</v>
      </c>
      <c r="M24" s="358" t="s">
        <v>244</v>
      </c>
      <c r="N24" s="358" t="s">
        <v>244</v>
      </c>
      <c r="O24" s="358" t="s">
        <v>244</v>
      </c>
      <c r="P24" s="359">
        <v>0</v>
      </c>
      <c r="Q24" s="358" t="s">
        <v>244</v>
      </c>
      <c r="R24" s="358" t="s">
        <v>244</v>
      </c>
      <c r="S24" s="358" t="s">
        <v>244</v>
      </c>
      <c r="T24" s="359">
        <v>0</v>
      </c>
      <c r="U24" s="358" t="s">
        <v>244</v>
      </c>
      <c r="V24" s="358" t="s">
        <v>244</v>
      </c>
      <c r="W24" s="358" t="s">
        <v>244</v>
      </c>
      <c r="X24" s="359">
        <v>0</v>
      </c>
      <c r="Y24" s="358" t="s">
        <v>244</v>
      </c>
      <c r="Z24" s="358" t="s">
        <v>244</v>
      </c>
      <c r="AA24" s="358" t="s">
        <v>244</v>
      </c>
      <c r="AB24" s="358">
        <v>0</v>
      </c>
      <c r="AC24" s="358" t="s">
        <v>244</v>
      </c>
    </row>
    <row r="25" spans="1:29" ht="16.5">
      <c r="A25" s="244" t="s">
        <v>338</v>
      </c>
      <c r="B25" s="246" t="s">
        <v>339</v>
      </c>
      <c r="C25" s="358">
        <v>0</v>
      </c>
      <c r="D25" s="358" t="s">
        <v>244</v>
      </c>
      <c r="E25" s="358">
        <v>0</v>
      </c>
      <c r="F25" s="358">
        <f t="shared" si="2"/>
        <v>0.17</v>
      </c>
      <c r="G25" s="358">
        <v>0</v>
      </c>
      <c r="H25" s="358">
        <v>0</v>
      </c>
      <c r="I25" s="358" t="s">
        <v>244</v>
      </c>
      <c r="J25" s="358" t="s">
        <v>244</v>
      </c>
      <c r="K25" s="358" t="s">
        <v>244</v>
      </c>
      <c r="L25" s="359">
        <v>0.17</v>
      </c>
      <c r="M25" s="358" t="s">
        <v>244</v>
      </c>
      <c r="N25" s="358" t="s">
        <v>244</v>
      </c>
      <c r="O25" s="358" t="s">
        <v>244</v>
      </c>
      <c r="P25" s="359">
        <v>0</v>
      </c>
      <c r="Q25" s="358" t="s">
        <v>244</v>
      </c>
      <c r="R25" s="358" t="s">
        <v>244</v>
      </c>
      <c r="S25" s="358" t="s">
        <v>244</v>
      </c>
      <c r="T25" s="359">
        <v>0</v>
      </c>
      <c r="U25" s="358" t="s">
        <v>244</v>
      </c>
      <c r="V25" s="358" t="s">
        <v>244</v>
      </c>
      <c r="W25" s="358" t="s">
        <v>244</v>
      </c>
      <c r="X25" s="359">
        <v>0</v>
      </c>
      <c r="Y25" s="358" t="s">
        <v>244</v>
      </c>
      <c r="Z25" s="358" t="s">
        <v>244</v>
      </c>
      <c r="AA25" s="358" t="s">
        <v>244</v>
      </c>
      <c r="AB25" s="358">
        <v>0</v>
      </c>
      <c r="AC25" s="358" t="s">
        <v>244</v>
      </c>
    </row>
    <row r="26" spans="1:29" ht="33">
      <c r="A26" s="242" t="s">
        <v>20</v>
      </c>
      <c r="B26" s="243" t="s">
        <v>340</v>
      </c>
      <c r="C26" s="358">
        <f>C27+C28</f>
        <v>1.4189999999999998</v>
      </c>
      <c r="D26" s="358" t="s">
        <v>244</v>
      </c>
      <c r="E26" s="358">
        <v>1.4189999999999998</v>
      </c>
      <c r="F26" s="358">
        <v>1.4189999999999998</v>
      </c>
      <c r="G26" s="358">
        <f t="shared" ref="G26:AA26" si="3">SUM(G27:G30)</f>
        <v>0</v>
      </c>
      <c r="H26" s="358">
        <v>0</v>
      </c>
      <c r="I26" s="358">
        <f t="shared" si="3"/>
        <v>0</v>
      </c>
      <c r="J26" s="358">
        <f t="shared" si="3"/>
        <v>0</v>
      </c>
      <c r="K26" s="358">
        <f t="shared" si="3"/>
        <v>0</v>
      </c>
      <c r="L26" s="358">
        <f t="shared" si="3"/>
        <v>0.14199999999999999</v>
      </c>
      <c r="M26" s="358">
        <f t="shared" si="3"/>
        <v>0</v>
      </c>
      <c r="N26" s="358">
        <f t="shared" si="3"/>
        <v>0</v>
      </c>
      <c r="O26" s="358">
        <f t="shared" si="3"/>
        <v>0</v>
      </c>
      <c r="P26" s="358">
        <f>SUM(P27:P30)</f>
        <v>1.2769999999999999</v>
      </c>
      <c r="Q26" s="358">
        <f t="shared" si="3"/>
        <v>0</v>
      </c>
      <c r="R26" s="358">
        <f t="shared" si="3"/>
        <v>0</v>
      </c>
      <c r="S26" s="358">
        <f t="shared" si="3"/>
        <v>0</v>
      </c>
      <c r="T26" s="358">
        <f>SUM(T27:T30)</f>
        <v>0</v>
      </c>
      <c r="U26" s="358">
        <f t="shared" si="3"/>
        <v>0</v>
      </c>
      <c r="V26" s="358">
        <f t="shared" si="3"/>
        <v>0</v>
      </c>
      <c r="W26" s="358">
        <f t="shared" si="3"/>
        <v>0</v>
      </c>
      <c r="X26" s="358">
        <f>SUM(X27:X30)</f>
        <v>0</v>
      </c>
      <c r="Y26" s="358">
        <f t="shared" si="3"/>
        <v>0</v>
      </c>
      <c r="Z26" s="358">
        <f t="shared" si="3"/>
        <v>0</v>
      </c>
      <c r="AA26" s="358">
        <f t="shared" si="3"/>
        <v>0</v>
      </c>
      <c r="AB26" s="358">
        <v>1.4189999999999998</v>
      </c>
      <c r="AC26" s="358" t="s">
        <v>244</v>
      </c>
    </row>
    <row r="27" spans="1:29" ht="16.5">
      <c r="A27" s="242" t="s">
        <v>341</v>
      </c>
      <c r="B27" s="245" t="s">
        <v>342</v>
      </c>
      <c r="C27" s="358">
        <v>0.14199999999999999</v>
      </c>
      <c r="D27" s="358" t="s">
        <v>244</v>
      </c>
      <c r="E27" s="358">
        <v>0.14199999999999999</v>
      </c>
      <c r="F27" s="358">
        <v>0.14199999999999999</v>
      </c>
      <c r="G27" s="358">
        <v>0</v>
      </c>
      <c r="H27" s="358">
        <v>0</v>
      </c>
      <c r="I27" s="358" t="s">
        <v>244</v>
      </c>
      <c r="J27" s="358" t="s">
        <v>244</v>
      </c>
      <c r="K27" s="358" t="s">
        <v>244</v>
      </c>
      <c r="L27" s="358">
        <v>0.14199999999999999</v>
      </c>
      <c r="M27" s="358" t="s">
        <v>244</v>
      </c>
      <c r="N27" s="358" t="s">
        <v>244</v>
      </c>
      <c r="O27" s="358" t="s">
        <v>244</v>
      </c>
      <c r="P27" s="359">
        <v>0</v>
      </c>
      <c r="Q27" s="358" t="s">
        <v>244</v>
      </c>
      <c r="R27" s="358" t="s">
        <v>244</v>
      </c>
      <c r="S27" s="358" t="s">
        <v>244</v>
      </c>
      <c r="T27" s="359">
        <v>0</v>
      </c>
      <c r="U27" s="358" t="s">
        <v>244</v>
      </c>
      <c r="V27" s="358" t="s">
        <v>244</v>
      </c>
      <c r="W27" s="358" t="s">
        <v>244</v>
      </c>
      <c r="X27" s="359">
        <v>0</v>
      </c>
      <c r="Y27" s="358" t="s">
        <v>244</v>
      </c>
      <c r="Z27" s="358" t="s">
        <v>244</v>
      </c>
      <c r="AA27" s="358" t="s">
        <v>244</v>
      </c>
      <c r="AB27" s="358">
        <v>0.14199999999999999</v>
      </c>
      <c r="AC27" s="358" t="s">
        <v>244</v>
      </c>
    </row>
    <row r="28" spans="1:29" ht="16.5">
      <c r="A28" s="242" t="s">
        <v>343</v>
      </c>
      <c r="B28" s="245" t="s">
        <v>344</v>
      </c>
      <c r="C28" s="358">
        <v>1.2769999999999999</v>
      </c>
      <c r="D28" s="358" t="s">
        <v>244</v>
      </c>
      <c r="E28" s="358">
        <v>1.2769999999999999</v>
      </c>
      <c r="F28" s="358">
        <v>1.2769999999999999</v>
      </c>
      <c r="G28" s="358">
        <v>0</v>
      </c>
      <c r="H28" s="358">
        <v>0</v>
      </c>
      <c r="I28" s="358" t="s">
        <v>244</v>
      </c>
      <c r="J28" s="358" t="s">
        <v>244</v>
      </c>
      <c r="K28" s="358" t="s">
        <v>244</v>
      </c>
      <c r="L28" s="359">
        <v>0</v>
      </c>
      <c r="M28" s="358" t="s">
        <v>244</v>
      </c>
      <c r="N28" s="358" t="s">
        <v>244</v>
      </c>
      <c r="O28" s="358" t="s">
        <v>244</v>
      </c>
      <c r="P28" s="359">
        <v>1.2769999999999999</v>
      </c>
      <c r="Q28" s="358" t="s">
        <v>244</v>
      </c>
      <c r="R28" s="358" t="s">
        <v>244</v>
      </c>
      <c r="S28" s="358" t="s">
        <v>244</v>
      </c>
      <c r="T28" s="359">
        <v>0</v>
      </c>
      <c r="U28" s="358" t="s">
        <v>244</v>
      </c>
      <c r="V28" s="358" t="s">
        <v>244</v>
      </c>
      <c r="W28" s="358" t="s">
        <v>244</v>
      </c>
      <c r="X28" s="359">
        <v>0</v>
      </c>
      <c r="Y28" s="358" t="s">
        <v>244</v>
      </c>
      <c r="Z28" s="358" t="s">
        <v>244</v>
      </c>
      <c r="AA28" s="358" t="s">
        <v>244</v>
      </c>
      <c r="AB28" s="358">
        <v>1.2769999999999999</v>
      </c>
      <c r="AC28" s="358" t="s">
        <v>244</v>
      </c>
    </row>
    <row r="29" spans="1:29" ht="16.5">
      <c r="A29" s="242" t="s">
        <v>345</v>
      </c>
      <c r="B29" s="245" t="s">
        <v>346</v>
      </c>
      <c r="C29" s="358">
        <v>0</v>
      </c>
      <c r="D29" s="358" t="s">
        <v>244</v>
      </c>
      <c r="E29" s="358">
        <v>0</v>
      </c>
      <c r="F29" s="358">
        <v>0</v>
      </c>
      <c r="G29" s="358">
        <v>0</v>
      </c>
      <c r="H29" s="358">
        <v>0</v>
      </c>
      <c r="I29" s="358" t="s">
        <v>244</v>
      </c>
      <c r="J29" s="358" t="s">
        <v>244</v>
      </c>
      <c r="K29" s="358" t="s">
        <v>244</v>
      </c>
      <c r="L29" s="359">
        <v>0</v>
      </c>
      <c r="M29" s="358" t="s">
        <v>244</v>
      </c>
      <c r="N29" s="358" t="s">
        <v>244</v>
      </c>
      <c r="O29" s="358" t="s">
        <v>244</v>
      </c>
      <c r="P29" s="359">
        <v>0</v>
      </c>
      <c r="Q29" s="358" t="s">
        <v>244</v>
      </c>
      <c r="R29" s="358" t="s">
        <v>244</v>
      </c>
      <c r="S29" s="358" t="s">
        <v>244</v>
      </c>
      <c r="T29" s="359">
        <v>0</v>
      </c>
      <c r="U29" s="358" t="s">
        <v>244</v>
      </c>
      <c r="V29" s="358" t="s">
        <v>244</v>
      </c>
      <c r="W29" s="358" t="s">
        <v>244</v>
      </c>
      <c r="X29" s="359">
        <v>0</v>
      </c>
      <c r="Y29" s="358" t="s">
        <v>244</v>
      </c>
      <c r="Z29" s="358" t="s">
        <v>244</v>
      </c>
      <c r="AA29" s="358" t="s">
        <v>244</v>
      </c>
      <c r="AB29" s="358">
        <v>0</v>
      </c>
      <c r="AC29" s="358" t="s">
        <v>244</v>
      </c>
    </row>
    <row r="30" spans="1:29" ht="16.5">
      <c r="A30" s="242" t="s">
        <v>347</v>
      </c>
      <c r="B30" s="245" t="s">
        <v>348</v>
      </c>
      <c r="C30" s="358">
        <v>0</v>
      </c>
      <c r="D30" s="358" t="s">
        <v>244</v>
      </c>
      <c r="E30" s="358">
        <v>0</v>
      </c>
      <c r="F30" s="358">
        <f t="shared" si="2"/>
        <v>0</v>
      </c>
      <c r="G30" s="358">
        <v>0</v>
      </c>
      <c r="H30" s="358">
        <v>0</v>
      </c>
      <c r="I30" s="358" t="s">
        <v>244</v>
      </c>
      <c r="J30" s="358" t="s">
        <v>244</v>
      </c>
      <c r="K30" s="358" t="s">
        <v>244</v>
      </c>
      <c r="L30" s="359">
        <v>0</v>
      </c>
      <c r="M30" s="358" t="s">
        <v>244</v>
      </c>
      <c r="N30" s="358" t="s">
        <v>244</v>
      </c>
      <c r="O30" s="358" t="s">
        <v>244</v>
      </c>
      <c r="P30" s="359">
        <v>0</v>
      </c>
      <c r="Q30" s="358" t="s">
        <v>244</v>
      </c>
      <c r="R30" s="358" t="s">
        <v>244</v>
      </c>
      <c r="S30" s="358" t="s">
        <v>244</v>
      </c>
      <c r="T30" s="359">
        <v>0</v>
      </c>
      <c r="U30" s="358" t="s">
        <v>244</v>
      </c>
      <c r="V30" s="358" t="s">
        <v>244</v>
      </c>
      <c r="W30" s="358" t="s">
        <v>244</v>
      </c>
      <c r="X30" s="359">
        <v>0</v>
      </c>
      <c r="Y30" s="358" t="s">
        <v>244</v>
      </c>
      <c r="Z30" s="358" t="s">
        <v>244</v>
      </c>
      <c r="AA30" s="358" t="s">
        <v>244</v>
      </c>
      <c r="AB30" s="358">
        <v>0</v>
      </c>
      <c r="AC30" s="358" t="s">
        <v>244</v>
      </c>
    </row>
    <row r="31" spans="1:29" ht="16.5">
      <c r="A31" s="242" t="s">
        <v>19</v>
      </c>
      <c r="B31" s="243" t="s">
        <v>349</v>
      </c>
      <c r="C31" s="358">
        <v>0</v>
      </c>
      <c r="D31" s="358" t="s">
        <v>244</v>
      </c>
      <c r="E31" s="358">
        <v>0</v>
      </c>
      <c r="F31" s="358">
        <f t="shared" ref="F31" si="4">G31+H31+L31+P31+T31+X31</f>
        <v>0</v>
      </c>
      <c r="G31" s="358">
        <v>0</v>
      </c>
      <c r="H31" s="358">
        <v>0</v>
      </c>
      <c r="I31" s="358" t="s">
        <v>244</v>
      </c>
      <c r="J31" s="358" t="s">
        <v>244</v>
      </c>
      <c r="K31" s="358" t="s">
        <v>244</v>
      </c>
      <c r="L31" s="359">
        <v>0</v>
      </c>
      <c r="M31" s="358" t="s">
        <v>244</v>
      </c>
      <c r="N31" s="358" t="s">
        <v>244</v>
      </c>
      <c r="O31" s="358" t="s">
        <v>244</v>
      </c>
      <c r="P31" s="359">
        <v>0</v>
      </c>
      <c r="Q31" s="358" t="s">
        <v>244</v>
      </c>
      <c r="R31" s="358" t="s">
        <v>244</v>
      </c>
      <c r="S31" s="358" t="s">
        <v>244</v>
      </c>
      <c r="T31" s="359">
        <v>0</v>
      </c>
      <c r="U31" s="358" t="s">
        <v>244</v>
      </c>
      <c r="V31" s="358" t="s">
        <v>244</v>
      </c>
      <c r="W31" s="358" t="s">
        <v>244</v>
      </c>
      <c r="X31" s="359">
        <v>0</v>
      </c>
      <c r="Y31" s="358" t="s">
        <v>244</v>
      </c>
      <c r="Z31" s="358" t="s">
        <v>244</v>
      </c>
      <c r="AA31" s="358" t="s">
        <v>244</v>
      </c>
      <c r="AB31" s="358">
        <v>0</v>
      </c>
      <c r="AC31" s="358" t="s">
        <v>244</v>
      </c>
    </row>
    <row r="32" spans="1:29" ht="16.5">
      <c r="A32" s="244" t="s">
        <v>350</v>
      </c>
      <c r="B32" s="247" t="s">
        <v>351</v>
      </c>
      <c r="C32" s="358">
        <v>0</v>
      </c>
      <c r="D32" s="358" t="s">
        <v>244</v>
      </c>
      <c r="E32" s="358">
        <v>0</v>
      </c>
      <c r="F32" s="358">
        <f t="shared" si="2"/>
        <v>0</v>
      </c>
      <c r="G32" s="358">
        <v>0</v>
      </c>
      <c r="H32" s="358">
        <v>0</v>
      </c>
      <c r="I32" s="358" t="s">
        <v>244</v>
      </c>
      <c r="J32" s="358" t="s">
        <v>244</v>
      </c>
      <c r="K32" s="358" t="s">
        <v>244</v>
      </c>
      <c r="L32" s="359">
        <v>0</v>
      </c>
      <c r="M32" s="358" t="s">
        <v>244</v>
      </c>
      <c r="N32" s="358" t="s">
        <v>244</v>
      </c>
      <c r="O32" s="358" t="s">
        <v>244</v>
      </c>
      <c r="P32" s="359">
        <v>0</v>
      </c>
      <c r="Q32" s="358" t="s">
        <v>244</v>
      </c>
      <c r="R32" s="358" t="s">
        <v>244</v>
      </c>
      <c r="S32" s="358" t="s">
        <v>244</v>
      </c>
      <c r="T32" s="359">
        <v>0</v>
      </c>
      <c r="U32" s="358" t="s">
        <v>244</v>
      </c>
      <c r="V32" s="358" t="s">
        <v>244</v>
      </c>
      <c r="W32" s="358" t="s">
        <v>244</v>
      </c>
      <c r="X32" s="359">
        <v>0</v>
      </c>
      <c r="Y32" s="358" t="s">
        <v>244</v>
      </c>
      <c r="Z32" s="358" t="s">
        <v>244</v>
      </c>
      <c r="AA32" s="358" t="s">
        <v>244</v>
      </c>
      <c r="AB32" s="358">
        <v>0</v>
      </c>
      <c r="AC32" s="358" t="s">
        <v>244</v>
      </c>
    </row>
    <row r="33" spans="1:29" ht="16.5">
      <c r="A33" s="244" t="s">
        <v>352</v>
      </c>
      <c r="B33" s="247" t="s">
        <v>353</v>
      </c>
      <c r="C33" s="358">
        <v>0.63</v>
      </c>
      <c r="D33" s="358" t="s">
        <v>244</v>
      </c>
      <c r="E33" s="358">
        <v>0.63</v>
      </c>
      <c r="F33" s="358">
        <v>0.63</v>
      </c>
      <c r="G33" s="359">
        <f t="shared" ref="G33:K33" si="5">SUM(G34:G40)</f>
        <v>0</v>
      </c>
      <c r="H33" s="358">
        <v>0</v>
      </c>
      <c r="I33" s="359">
        <f t="shared" si="5"/>
        <v>0</v>
      </c>
      <c r="J33" s="359">
        <f t="shared" si="5"/>
        <v>0</v>
      </c>
      <c r="K33" s="359">
        <f t="shared" si="5"/>
        <v>0</v>
      </c>
      <c r="L33" s="359">
        <v>0</v>
      </c>
      <c r="M33" s="358" t="s">
        <v>244</v>
      </c>
      <c r="N33" s="358" t="s">
        <v>244</v>
      </c>
      <c r="O33" s="358" t="s">
        <v>244</v>
      </c>
      <c r="P33" s="358">
        <v>0.63</v>
      </c>
      <c r="Q33" s="358" t="s">
        <v>244</v>
      </c>
      <c r="R33" s="358" t="s">
        <v>244</v>
      </c>
      <c r="S33" s="358" t="s">
        <v>244</v>
      </c>
      <c r="T33" s="359">
        <v>0</v>
      </c>
      <c r="U33" s="358" t="s">
        <v>244</v>
      </c>
      <c r="V33" s="358" t="s">
        <v>244</v>
      </c>
      <c r="W33" s="358" t="s">
        <v>244</v>
      </c>
      <c r="X33" s="359">
        <v>0</v>
      </c>
      <c r="Y33" s="358" t="s">
        <v>244</v>
      </c>
      <c r="Z33" s="358" t="s">
        <v>244</v>
      </c>
      <c r="AA33" s="358" t="s">
        <v>244</v>
      </c>
      <c r="AB33" s="358">
        <v>0.63</v>
      </c>
      <c r="AC33" s="358" t="s">
        <v>244</v>
      </c>
    </row>
    <row r="34" spans="1:29" ht="16.5">
      <c r="A34" s="244" t="s">
        <v>354</v>
      </c>
      <c r="B34" s="247" t="s">
        <v>355</v>
      </c>
      <c r="C34" s="358">
        <v>0</v>
      </c>
      <c r="D34" s="358" t="s">
        <v>244</v>
      </c>
      <c r="E34" s="358">
        <v>0</v>
      </c>
      <c r="F34" s="358">
        <f t="shared" si="2"/>
        <v>0</v>
      </c>
      <c r="G34" s="358">
        <v>0</v>
      </c>
      <c r="H34" s="358">
        <v>0</v>
      </c>
      <c r="I34" s="358" t="s">
        <v>244</v>
      </c>
      <c r="J34" s="358" t="s">
        <v>244</v>
      </c>
      <c r="K34" s="358" t="s">
        <v>244</v>
      </c>
      <c r="L34" s="359">
        <v>0</v>
      </c>
      <c r="M34" s="358" t="s">
        <v>244</v>
      </c>
      <c r="N34" s="358" t="s">
        <v>244</v>
      </c>
      <c r="O34" s="358" t="s">
        <v>244</v>
      </c>
      <c r="P34" s="359">
        <v>0</v>
      </c>
      <c r="Q34" s="358" t="s">
        <v>244</v>
      </c>
      <c r="R34" s="358" t="s">
        <v>244</v>
      </c>
      <c r="S34" s="358" t="s">
        <v>244</v>
      </c>
      <c r="T34" s="359">
        <v>0</v>
      </c>
      <c r="U34" s="358" t="s">
        <v>244</v>
      </c>
      <c r="V34" s="358" t="s">
        <v>244</v>
      </c>
      <c r="W34" s="358" t="s">
        <v>244</v>
      </c>
      <c r="X34" s="359">
        <v>0</v>
      </c>
      <c r="Y34" s="358" t="s">
        <v>244</v>
      </c>
      <c r="Z34" s="358" t="s">
        <v>244</v>
      </c>
      <c r="AA34" s="358" t="s">
        <v>244</v>
      </c>
      <c r="AB34" s="358">
        <v>0</v>
      </c>
      <c r="AC34" s="358" t="s">
        <v>244</v>
      </c>
    </row>
    <row r="35" spans="1:29" ht="16.5">
      <c r="A35" s="244" t="s">
        <v>356</v>
      </c>
      <c r="B35" s="245" t="s">
        <v>357</v>
      </c>
      <c r="C35" s="358">
        <v>0</v>
      </c>
      <c r="D35" s="358" t="s">
        <v>244</v>
      </c>
      <c r="E35" s="358">
        <v>0</v>
      </c>
      <c r="F35" s="358">
        <f t="shared" si="2"/>
        <v>0</v>
      </c>
      <c r="G35" s="358">
        <v>0</v>
      </c>
      <c r="H35" s="358">
        <v>0</v>
      </c>
      <c r="I35" s="358" t="s">
        <v>244</v>
      </c>
      <c r="J35" s="358" t="s">
        <v>244</v>
      </c>
      <c r="K35" s="358" t="s">
        <v>244</v>
      </c>
      <c r="L35" s="359">
        <v>0</v>
      </c>
      <c r="M35" s="358" t="s">
        <v>244</v>
      </c>
      <c r="N35" s="358" t="s">
        <v>244</v>
      </c>
      <c r="O35" s="358" t="s">
        <v>244</v>
      </c>
      <c r="P35" s="359">
        <v>0</v>
      </c>
      <c r="Q35" s="358" t="s">
        <v>244</v>
      </c>
      <c r="R35" s="358" t="s">
        <v>244</v>
      </c>
      <c r="S35" s="358" t="s">
        <v>244</v>
      </c>
      <c r="T35" s="359">
        <v>0</v>
      </c>
      <c r="U35" s="358" t="s">
        <v>244</v>
      </c>
      <c r="V35" s="358" t="s">
        <v>244</v>
      </c>
      <c r="W35" s="358" t="s">
        <v>244</v>
      </c>
      <c r="X35" s="359">
        <v>0</v>
      </c>
      <c r="Y35" s="358" t="s">
        <v>244</v>
      </c>
      <c r="Z35" s="358" t="s">
        <v>244</v>
      </c>
      <c r="AA35" s="358" t="s">
        <v>244</v>
      </c>
      <c r="AB35" s="358">
        <v>0</v>
      </c>
      <c r="AC35" s="358" t="s">
        <v>244</v>
      </c>
    </row>
    <row r="36" spans="1:29" ht="16.5">
      <c r="A36" s="244" t="s">
        <v>358</v>
      </c>
      <c r="B36" s="245" t="s">
        <v>359</v>
      </c>
      <c r="C36" s="358">
        <v>0</v>
      </c>
      <c r="D36" s="358" t="s">
        <v>244</v>
      </c>
      <c r="E36" s="358">
        <v>0</v>
      </c>
      <c r="F36" s="358">
        <f t="shared" si="2"/>
        <v>0</v>
      </c>
      <c r="G36" s="358">
        <v>0</v>
      </c>
      <c r="H36" s="358">
        <v>0</v>
      </c>
      <c r="I36" s="358" t="s">
        <v>244</v>
      </c>
      <c r="J36" s="358" t="s">
        <v>244</v>
      </c>
      <c r="K36" s="358" t="s">
        <v>244</v>
      </c>
      <c r="L36" s="359">
        <v>0</v>
      </c>
      <c r="M36" s="358" t="s">
        <v>244</v>
      </c>
      <c r="N36" s="358" t="s">
        <v>244</v>
      </c>
      <c r="O36" s="358" t="s">
        <v>244</v>
      </c>
      <c r="P36" s="359">
        <v>0</v>
      </c>
      <c r="Q36" s="358" t="s">
        <v>244</v>
      </c>
      <c r="R36" s="358" t="s">
        <v>244</v>
      </c>
      <c r="S36" s="358" t="s">
        <v>244</v>
      </c>
      <c r="T36" s="359">
        <v>0</v>
      </c>
      <c r="U36" s="358" t="s">
        <v>244</v>
      </c>
      <c r="V36" s="358" t="s">
        <v>244</v>
      </c>
      <c r="W36" s="358" t="s">
        <v>244</v>
      </c>
      <c r="X36" s="359">
        <v>0</v>
      </c>
      <c r="Y36" s="358" t="s">
        <v>244</v>
      </c>
      <c r="Z36" s="358" t="s">
        <v>244</v>
      </c>
      <c r="AA36" s="358" t="s">
        <v>244</v>
      </c>
      <c r="AB36" s="358">
        <v>0</v>
      </c>
      <c r="AC36" s="358" t="s">
        <v>244</v>
      </c>
    </row>
    <row r="37" spans="1:29" ht="16.5">
      <c r="A37" s="244" t="s">
        <v>360</v>
      </c>
      <c r="B37" s="245" t="s">
        <v>361</v>
      </c>
      <c r="C37" s="358">
        <v>0</v>
      </c>
      <c r="D37" s="358" t="s">
        <v>244</v>
      </c>
      <c r="E37" s="358">
        <v>0</v>
      </c>
      <c r="F37" s="358">
        <f t="shared" si="2"/>
        <v>0</v>
      </c>
      <c r="G37" s="358">
        <v>0</v>
      </c>
      <c r="H37" s="358">
        <v>0</v>
      </c>
      <c r="I37" s="358" t="s">
        <v>244</v>
      </c>
      <c r="J37" s="358" t="s">
        <v>244</v>
      </c>
      <c r="K37" s="358" t="s">
        <v>244</v>
      </c>
      <c r="L37" s="359">
        <v>0</v>
      </c>
      <c r="M37" s="358" t="s">
        <v>244</v>
      </c>
      <c r="N37" s="358" t="s">
        <v>244</v>
      </c>
      <c r="O37" s="358" t="s">
        <v>244</v>
      </c>
      <c r="P37" s="359">
        <v>0</v>
      </c>
      <c r="Q37" s="358" t="s">
        <v>244</v>
      </c>
      <c r="R37" s="358" t="s">
        <v>244</v>
      </c>
      <c r="S37" s="358" t="s">
        <v>244</v>
      </c>
      <c r="T37" s="359">
        <v>0</v>
      </c>
      <c r="U37" s="358" t="s">
        <v>244</v>
      </c>
      <c r="V37" s="358" t="s">
        <v>244</v>
      </c>
      <c r="W37" s="358" t="s">
        <v>244</v>
      </c>
      <c r="X37" s="359">
        <v>0</v>
      </c>
      <c r="Y37" s="358" t="s">
        <v>244</v>
      </c>
      <c r="Z37" s="358" t="s">
        <v>244</v>
      </c>
      <c r="AA37" s="358" t="s">
        <v>244</v>
      </c>
      <c r="AB37" s="358">
        <v>0</v>
      </c>
      <c r="AC37" s="358" t="s">
        <v>244</v>
      </c>
    </row>
    <row r="38" spans="1:29" ht="19.5">
      <c r="A38" s="244" t="s">
        <v>362</v>
      </c>
      <c r="B38" s="247" t="s">
        <v>363</v>
      </c>
      <c r="C38" s="358">
        <v>0</v>
      </c>
      <c r="D38" s="358" t="s">
        <v>244</v>
      </c>
      <c r="E38" s="358">
        <v>0</v>
      </c>
      <c r="F38" s="358">
        <f t="shared" si="2"/>
        <v>0</v>
      </c>
      <c r="G38" s="358">
        <v>0</v>
      </c>
      <c r="H38" s="358">
        <v>0</v>
      </c>
      <c r="I38" s="358" t="s">
        <v>244</v>
      </c>
      <c r="J38" s="358" t="s">
        <v>244</v>
      </c>
      <c r="K38" s="358" t="s">
        <v>244</v>
      </c>
      <c r="L38" s="359">
        <v>0</v>
      </c>
      <c r="M38" s="358" t="s">
        <v>244</v>
      </c>
      <c r="N38" s="358" t="s">
        <v>244</v>
      </c>
      <c r="O38" s="358" t="s">
        <v>244</v>
      </c>
      <c r="P38" s="359">
        <v>0</v>
      </c>
      <c r="Q38" s="358" t="s">
        <v>244</v>
      </c>
      <c r="R38" s="358" t="s">
        <v>244</v>
      </c>
      <c r="S38" s="358" t="s">
        <v>244</v>
      </c>
      <c r="T38" s="359">
        <v>0</v>
      </c>
      <c r="U38" s="358" t="s">
        <v>244</v>
      </c>
      <c r="V38" s="358" t="s">
        <v>244</v>
      </c>
      <c r="W38" s="358" t="s">
        <v>244</v>
      </c>
      <c r="X38" s="359">
        <v>0</v>
      </c>
      <c r="Y38" s="358" t="s">
        <v>244</v>
      </c>
      <c r="Z38" s="358" t="s">
        <v>244</v>
      </c>
      <c r="AA38" s="358" t="s">
        <v>244</v>
      </c>
      <c r="AB38" s="358">
        <v>0</v>
      </c>
      <c r="AC38" s="358" t="s">
        <v>244</v>
      </c>
    </row>
    <row r="39" spans="1:29" s="333" customFormat="1" ht="16.5">
      <c r="A39" s="242" t="s">
        <v>18</v>
      </c>
      <c r="B39" s="243" t="s">
        <v>364</v>
      </c>
      <c r="C39" s="358">
        <v>0</v>
      </c>
      <c r="D39" s="358" t="s">
        <v>244</v>
      </c>
      <c r="E39" s="358">
        <v>0</v>
      </c>
      <c r="F39" s="358">
        <f t="shared" ref="F39" si="6">G39+H39+L39+P39+T39+X39</f>
        <v>0</v>
      </c>
      <c r="G39" s="358">
        <v>0</v>
      </c>
      <c r="H39" s="358">
        <v>0</v>
      </c>
      <c r="I39" s="358" t="s">
        <v>244</v>
      </c>
      <c r="J39" s="358" t="s">
        <v>244</v>
      </c>
      <c r="K39" s="358" t="s">
        <v>244</v>
      </c>
      <c r="L39" s="359">
        <v>0</v>
      </c>
      <c r="M39" s="358" t="s">
        <v>244</v>
      </c>
      <c r="N39" s="358" t="s">
        <v>244</v>
      </c>
      <c r="O39" s="358" t="s">
        <v>244</v>
      </c>
      <c r="P39" s="359">
        <v>0</v>
      </c>
      <c r="Q39" s="358" t="s">
        <v>244</v>
      </c>
      <c r="R39" s="358" t="s">
        <v>244</v>
      </c>
      <c r="S39" s="358" t="s">
        <v>244</v>
      </c>
      <c r="T39" s="359">
        <v>0</v>
      </c>
      <c r="U39" s="358" t="s">
        <v>244</v>
      </c>
      <c r="V39" s="358" t="s">
        <v>244</v>
      </c>
      <c r="W39" s="358" t="s">
        <v>244</v>
      </c>
      <c r="X39" s="359">
        <v>0</v>
      </c>
      <c r="Y39" s="358" t="s">
        <v>244</v>
      </c>
      <c r="Z39" s="358" t="s">
        <v>244</v>
      </c>
      <c r="AA39" s="358" t="s">
        <v>244</v>
      </c>
      <c r="AB39" s="358">
        <v>0</v>
      </c>
      <c r="AC39" s="358" t="s">
        <v>244</v>
      </c>
    </row>
    <row r="40" spans="1:29" ht="16.5">
      <c r="A40" s="244" t="s">
        <v>365</v>
      </c>
      <c r="B40" s="245" t="s">
        <v>366</v>
      </c>
      <c r="C40" s="358">
        <v>0</v>
      </c>
      <c r="D40" s="358" t="s">
        <v>244</v>
      </c>
      <c r="E40" s="358">
        <v>0</v>
      </c>
      <c r="F40" s="358">
        <f t="shared" si="2"/>
        <v>0</v>
      </c>
      <c r="G40" s="358">
        <v>0</v>
      </c>
      <c r="H40" s="358">
        <v>0</v>
      </c>
      <c r="I40" s="358" t="s">
        <v>244</v>
      </c>
      <c r="J40" s="358" t="s">
        <v>244</v>
      </c>
      <c r="K40" s="358" t="s">
        <v>244</v>
      </c>
      <c r="L40" s="359">
        <v>0</v>
      </c>
      <c r="M40" s="358" t="s">
        <v>244</v>
      </c>
      <c r="N40" s="358" t="s">
        <v>244</v>
      </c>
      <c r="O40" s="358" t="s">
        <v>244</v>
      </c>
      <c r="P40" s="359">
        <v>0</v>
      </c>
      <c r="Q40" s="358" t="s">
        <v>244</v>
      </c>
      <c r="R40" s="358" t="s">
        <v>244</v>
      </c>
      <c r="S40" s="358" t="s">
        <v>244</v>
      </c>
      <c r="T40" s="359">
        <v>0</v>
      </c>
      <c r="U40" s="358" t="s">
        <v>244</v>
      </c>
      <c r="V40" s="358" t="s">
        <v>244</v>
      </c>
      <c r="W40" s="358" t="s">
        <v>244</v>
      </c>
      <c r="X40" s="359">
        <v>0</v>
      </c>
      <c r="Y40" s="358" t="s">
        <v>244</v>
      </c>
      <c r="Z40" s="358" t="s">
        <v>244</v>
      </c>
      <c r="AA40" s="358" t="s">
        <v>244</v>
      </c>
      <c r="AB40" s="358">
        <v>0</v>
      </c>
      <c r="AC40" s="358" t="s">
        <v>244</v>
      </c>
    </row>
    <row r="41" spans="1:29" ht="16.5">
      <c r="A41" s="244" t="s">
        <v>367</v>
      </c>
      <c r="B41" s="245" t="s">
        <v>353</v>
      </c>
      <c r="C41" s="358">
        <v>0.63</v>
      </c>
      <c r="D41" s="358" t="s">
        <v>244</v>
      </c>
      <c r="E41" s="358">
        <v>0.63</v>
      </c>
      <c r="F41" s="358">
        <v>0.63</v>
      </c>
      <c r="G41" s="359">
        <f t="shared" ref="G41:K41" si="7">SUM(G42:G48)</f>
        <v>0</v>
      </c>
      <c r="H41" s="358">
        <v>0</v>
      </c>
      <c r="I41" s="359">
        <f t="shared" si="7"/>
        <v>0</v>
      </c>
      <c r="J41" s="359">
        <f t="shared" si="7"/>
        <v>0</v>
      </c>
      <c r="K41" s="359">
        <f t="shared" si="7"/>
        <v>0</v>
      </c>
      <c r="L41" s="359">
        <v>0</v>
      </c>
      <c r="M41" s="358" t="s">
        <v>244</v>
      </c>
      <c r="N41" s="358" t="s">
        <v>244</v>
      </c>
      <c r="O41" s="358" t="s">
        <v>244</v>
      </c>
      <c r="P41" s="358">
        <v>0.63</v>
      </c>
      <c r="Q41" s="358" t="s">
        <v>244</v>
      </c>
      <c r="R41" s="358" t="s">
        <v>244</v>
      </c>
      <c r="S41" s="358" t="s">
        <v>244</v>
      </c>
      <c r="T41" s="359">
        <v>0</v>
      </c>
      <c r="U41" s="358" t="s">
        <v>244</v>
      </c>
      <c r="V41" s="358" t="s">
        <v>244</v>
      </c>
      <c r="W41" s="358" t="s">
        <v>244</v>
      </c>
      <c r="X41" s="359">
        <v>0</v>
      </c>
      <c r="Y41" s="358" t="s">
        <v>244</v>
      </c>
      <c r="Z41" s="358" t="s">
        <v>244</v>
      </c>
      <c r="AA41" s="358" t="s">
        <v>244</v>
      </c>
      <c r="AB41" s="358">
        <v>0.63</v>
      </c>
      <c r="AC41" s="358" t="s">
        <v>244</v>
      </c>
    </row>
    <row r="42" spans="1:29" ht="16.5">
      <c r="A42" s="244" t="s">
        <v>368</v>
      </c>
      <c r="B42" s="245" t="s">
        <v>355</v>
      </c>
      <c r="C42" s="358">
        <v>0</v>
      </c>
      <c r="D42" s="358" t="s">
        <v>244</v>
      </c>
      <c r="E42" s="358">
        <v>0</v>
      </c>
      <c r="F42" s="358">
        <f t="shared" si="2"/>
        <v>0</v>
      </c>
      <c r="G42" s="358">
        <v>0</v>
      </c>
      <c r="H42" s="358">
        <v>0</v>
      </c>
      <c r="I42" s="358" t="s">
        <v>244</v>
      </c>
      <c r="J42" s="358" t="s">
        <v>244</v>
      </c>
      <c r="K42" s="358" t="s">
        <v>244</v>
      </c>
      <c r="L42" s="359">
        <v>0</v>
      </c>
      <c r="M42" s="358" t="s">
        <v>244</v>
      </c>
      <c r="N42" s="358" t="s">
        <v>244</v>
      </c>
      <c r="O42" s="358" t="s">
        <v>244</v>
      </c>
      <c r="P42" s="359">
        <v>0</v>
      </c>
      <c r="Q42" s="358" t="s">
        <v>244</v>
      </c>
      <c r="R42" s="358" t="s">
        <v>244</v>
      </c>
      <c r="S42" s="358" t="s">
        <v>244</v>
      </c>
      <c r="T42" s="359">
        <v>0</v>
      </c>
      <c r="U42" s="358" t="s">
        <v>244</v>
      </c>
      <c r="V42" s="358" t="s">
        <v>244</v>
      </c>
      <c r="W42" s="358" t="s">
        <v>244</v>
      </c>
      <c r="X42" s="359">
        <v>0</v>
      </c>
      <c r="Y42" s="358" t="s">
        <v>244</v>
      </c>
      <c r="Z42" s="358" t="s">
        <v>244</v>
      </c>
      <c r="AA42" s="358" t="s">
        <v>244</v>
      </c>
      <c r="AB42" s="358">
        <v>0</v>
      </c>
      <c r="AC42" s="358" t="s">
        <v>244</v>
      </c>
    </row>
    <row r="43" spans="1:29" ht="16.5">
      <c r="A43" s="244" t="s">
        <v>369</v>
      </c>
      <c r="B43" s="245" t="s">
        <v>357</v>
      </c>
      <c r="C43" s="358">
        <v>0</v>
      </c>
      <c r="D43" s="358" t="s">
        <v>244</v>
      </c>
      <c r="E43" s="358">
        <v>0</v>
      </c>
      <c r="F43" s="358">
        <f t="shared" si="2"/>
        <v>0</v>
      </c>
      <c r="G43" s="358">
        <v>0</v>
      </c>
      <c r="H43" s="358">
        <v>0</v>
      </c>
      <c r="I43" s="358" t="s">
        <v>244</v>
      </c>
      <c r="J43" s="358" t="s">
        <v>244</v>
      </c>
      <c r="K43" s="358" t="s">
        <v>244</v>
      </c>
      <c r="L43" s="359">
        <v>0</v>
      </c>
      <c r="M43" s="358" t="s">
        <v>244</v>
      </c>
      <c r="N43" s="358" t="s">
        <v>244</v>
      </c>
      <c r="O43" s="358" t="s">
        <v>244</v>
      </c>
      <c r="P43" s="359">
        <v>0</v>
      </c>
      <c r="Q43" s="358" t="s">
        <v>244</v>
      </c>
      <c r="R43" s="358" t="s">
        <v>244</v>
      </c>
      <c r="S43" s="358" t="s">
        <v>244</v>
      </c>
      <c r="T43" s="359">
        <v>0</v>
      </c>
      <c r="U43" s="358" t="s">
        <v>244</v>
      </c>
      <c r="V43" s="358" t="s">
        <v>244</v>
      </c>
      <c r="W43" s="358" t="s">
        <v>244</v>
      </c>
      <c r="X43" s="359">
        <v>0</v>
      </c>
      <c r="Y43" s="358" t="s">
        <v>244</v>
      </c>
      <c r="Z43" s="358" t="s">
        <v>244</v>
      </c>
      <c r="AA43" s="358" t="s">
        <v>244</v>
      </c>
      <c r="AB43" s="358">
        <v>0</v>
      </c>
      <c r="AC43" s="358" t="s">
        <v>244</v>
      </c>
    </row>
    <row r="44" spans="1:29" ht="16.5">
      <c r="A44" s="244" t="s">
        <v>370</v>
      </c>
      <c r="B44" s="245" t="s">
        <v>359</v>
      </c>
      <c r="C44" s="358">
        <v>0</v>
      </c>
      <c r="D44" s="358" t="s">
        <v>244</v>
      </c>
      <c r="E44" s="358">
        <v>0</v>
      </c>
      <c r="F44" s="358">
        <f t="shared" si="2"/>
        <v>0</v>
      </c>
      <c r="G44" s="358">
        <v>0</v>
      </c>
      <c r="H44" s="358">
        <v>0</v>
      </c>
      <c r="I44" s="358" t="s">
        <v>244</v>
      </c>
      <c r="J44" s="358" t="s">
        <v>244</v>
      </c>
      <c r="K44" s="358" t="s">
        <v>244</v>
      </c>
      <c r="L44" s="359">
        <v>0</v>
      </c>
      <c r="M44" s="358" t="s">
        <v>244</v>
      </c>
      <c r="N44" s="358" t="s">
        <v>244</v>
      </c>
      <c r="O44" s="358" t="s">
        <v>244</v>
      </c>
      <c r="P44" s="359">
        <v>0</v>
      </c>
      <c r="Q44" s="358" t="s">
        <v>244</v>
      </c>
      <c r="R44" s="358" t="s">
        <v>244</v>
      </c>
      <c r="S44" s="358" t="s">
        <v>244</v>
      </c>
      <c r="T44" s="359">
        <v>0</v>
      </c>
      <c r="U44" s="358" t="s">
        <v>244</v>
      </c>
      <c r="V44" s="358" t="s">
        <v>244</v>
      </c>
      <c r="W44" s="358" t="s">
        <v>244</v>
      </c>
      <c r="X44" s="359">
        <v>0</v>
      </c>
      <c r="Y44" s="358" t="s">
        <v>244</v>
      </c>
      <c r="Z44" s="358" t="s">
        <v>244</v>
      </c>
      <c r="AA44" s="358" t="s">
        <v>244</v>
      </c>
      <c r="AB44" s="358">
        <v>0</v>
      </c>
      <c r="AC44" s="358" t="s">
        <v>244</v>
      </c>
    </row>
    <row r="45" spans="1:29" ht="16.5">
      <c r="A45" s="244" t="s">
        <v>371</v>
      </c>
      <c r="B45" s="245" t="s">
        <v>361</v>
      </c>
      <c r="C45" s="358">
        <v>0</v>
      </c>
      <c r="D45" s="358" t="s">
        <v>244</v>
      </c>
      <c r="E45" s="358">
        <v>0</v>
      </c>
      <c r="F45" s="358">
        <f t="shared" si="2"/>
        <v>0</v>
      </c>
      <c r="G45" s="358">
        <v>0</v>
      </c>
      <c r="H45" s="358">
        <v>0</v>
      </c>
      <c r="I45" s="358" t="s">
        <v>244</v>
      </c>
      <c r="J45" s="358" t="s">
        <v>244</v>
      </c>
      <c r="K45" s="358" t="s">
        <v>244</v>
      </c>
      <c r="L45" s="359">
        <v>0</v>
      </c>
      <c r="M45" s="358" t="s">
        <v>244</v>
      </c>
      <c r="N45" s="358" t="s">
        <v>244</v>
      </c>
      <c r="O45" s="358" t="s">
        <v>244</v>
      </c>
      <c r="P45" s="359">
        <v>0</v>
      </c>
      <c r="Q45" s="358" t="s">
        <v>244</v>
      </c>
      <c r="R45" s="358" t="s">
        <v>244</v>
      </c>
      <c r="S45" s="358" t="s">
        <v>244</v>
      </c>
      <c r="T45" s="359">
        <v>0</v>
      </c>
      <c r="U45" s="358" t="s">
        <v>244</v>
      </c>
      <c r="V45" s="358" t="s">
        <v>244</v>
      </c>
      <c r="W45" s="358" t="s">
        <v>244</v>
      </c>
      <c r="X45" s="359">
        <v>0</v>
      </c>
      <c r="Y45" s="358" t="s">
        <v>244</v>
      </c>
      <c r="Z45" s="358" t="s">
        <v>244</v>
      </c>
      <c r="AA45" s="358" t="s">
        <v>244</v>
      </c>
      <c r="AB45" s="358">
        <v>0</v>
      </c>
      <c r="AC45" s="358" t="s">
        <v>244</v>
      </c>
    </row>
    <row r="46" spans="1:29" ht="19.5">
      <c r="A46" s="244" t="s">
        <v>372</v>
      </c>
      <c r="B46" s="247" t="s">
        <v>363</v>
      </c>
      <c r="C46" s="358">
        <v>0</v>
      </c>
      <c r="D46" s="358" t="s">
        <v>244</v>
      </c>
      <c r="E46" s="358">
        <v>0</v>
      </c>
      <c r="F46" s="358">
        <v>0</v>
      </c>
      <c r="G46" s="358">
        <v>0</v>
      </c>
      <c r="H46" s="358">
        <v>0</v>
      </c>
      <c r="I46" s="358" t="s">
        <v>244</v>
      </c>
      <c r="J46" s="358" t="s">
        <v>244</v>
      </c>
      <c r="K46" s="358" t="s">
        <v>244</v>
      </c>
      <c r="L46" s="359">
        <v>0</v>
      </c>
      <c r="M46" s="358" t="s">
        <v>244</v>
      </c>
      <c r="N46" s="358" t="s">
        <v>244</v>
      </c>
      <c r="O46" s="358" t="s">
        <v>244</v>
      </c>
      <c r="P46" s="359">
        <v>0</v>
      </c>
      <c r="Q46" s="358" t="s">
        <v>244</v>
      </c>
      <c r="R46" s="358" t="s">
        <v>244</v>
      </c>
      <c r="S46" s="358" t="s">
        <v>244</v>
      </c>
      <c r="T46" s="359">
        <v>0</v>
      </c>
      <c r="U46" s="358" t="s">
        <v>244</v>
      </c>
      <c r="V46" s="358" t="s">
        <v>244</v>
      </c>
      <c r="W46" s="358" t="s">
        <v>244</v>
      </c>
      <c r="X46" s="359">
        <f>X26</f>
        <v>0</v>
      </c>
      <c r="Y46" s="358" t="s">
        <v>244</v>
      </c>
      <c r="Z46" s="358" t="s">
        <v>244</v>
      </c>
      <c r="AA46" s="358" t="s">
        <v>244</v>
      </c>
      <c r="AB46" s="358">
        <v>0</v>
      </c>
      <c r="AC46" s="358" t="s">
        <v>244</v>
      </c>
    </row>
    <row r="47" spans="1:29" s="333" customFormat="1" ht="16.5">
      <c r="A47" s="242" t="s">
        <v>16</v>
      </c>
      <c r="B47" s="243" t="s">
        <v>373</v>
      </c>
      <c r="C47" s="358">
        <v>0</v>
      </c>
      <c r="D47" s="358" t="s">
        <v>244</v>
      </c>
      <c r="E47" s="358">
        <v>0</v>
      </c>
      <c r="F47" s="358">
        <v>1.4189999999999998</v>
      </c>
      <c r="G47" s="358">
        <f t="shared" ref="G47:AA47" si="8">SUM(G48:G53)</f>
        <v>0</v>
      </c>
      <c r="H47" s="358">
        <v>0</v>
      </c>
      <c r="I47" s="358">
        <f t="shared" si="8"/>
        <v>0</v>
      </c>
      <c r="J47" s="358">
        <f t="shared" si="8"/>
        <v>0</v>
      </c>
      <c r="K47" s="358">
        <f t="shared" si="8"/>
        <v>0</v>
      </c>
      <c r="L47" s="358">
        <v>0</v>
      </c>
      <c r="M47" s="358">
        <f t="shared" si="8"/>
        <v>0</v>
      </c>
      <c r="N47" s="358">
        <f t="shared" si="8"/>
        <v>0</v>
      </c>
      <c r="O47" s="358">
        <f t="shared" si="8"/>
        <v>0</v>
      </c>
      <c r="P47" s="358">
        <f>SUM(P48:P53)</f>
        <v>1.907</v>
      </c>
      <c r="Q47" s="358">
        <f t="shared" si="8"/>
        <v>0</v>
      </c>
      <c r="R47" s="358">
        <f t="shared" si="8"/>
        <v>0</v>
      </c>
      <c r="S47" s="358">
        <f t="shared" si="8"/>
        <v>0</v>
      </c>
      <c r="T47" s="358">
        <f t="shared" si="8"/>
        <v>0</v>
      </c>
      <c r="U47" s="358">
        <f t="shared" si="8"/>
        <v>0</v>
      </c>
      <c r="V47" s="358">
        <f t="shared" si="8"/>
        <v>0</v>
      </c>
      <c r="W47" s="358">
        <f t="shared" si="8"/>
        <v>0</v>
      </c>
      <c r="X47" s="358">
        <f t="shared" si="8"/>
        <v>0</v>
      </c>
      <c r="Y47" s="358">
        <f t="shared" si="8"/>
        <v>0</v>
      </c>
      <c r="Z47" s="358">
        <f t="shared" si="8"/>
        <v>0</v>
      </c>
      <c r="AA47" s="358">
        <f t="shared" si="8"/>
        <v>0</v>
      </c>
      <c r="AB47" s="358">
        <v>0</v>
      </c>
      <c r="AC47" s="358" t="s">
        <v>244</v>
      </c>
    </row>
    <row r="48" spans="1:29" ht="16.5">
      <c r="A48" s="244" t="s">
        <v>374</v>
      </c>
      <c r="B48" s="245" t="s">
        <v>375</v>
      </c>
      <c r="C48" s="358">
        <f>C26</f>
        <v>1.4189999999999998</v>
      </c>
      <c r="D48" s="358" t="s">
        <v>244</v>
      </c>
      <c r="E48" s="358">
        <v>1.4189999999999998</v>
      </c>
      <c r="F48" s="358">
        <v>1.4189999999999998</v>
      </c>
      <c r="G48" s="358">
        <v>0</v>
      </c>
      <c r="H48" s="358">
        <v>0</v>
      </c>
      <c r="I48" s="358" t="s">
        <v>244</v>
      </c>
      <c r="J48" s="358" t="s">
        <v>244</v>
      </c>
      <c r="K48" s="358" t="s">
        <v>244</v>
      </c>
      <c r="L48" s="359">
        <f>L28</f>
        <v>0</v>
      </c>
      <c r="M48" s="358" t="s">
        <v>244</v>
      </c>
      <c r="N48" s="358" t="s">
        <v>244</v>
      </c>
      <c r="O48" s="358" t="s">
        <v>244</v>
      </c>
      <c r="P48" s="359">
        <f>P26</f>
        <v>1.2769999999999999</v>
      </c>
      <c r="Q48" s="358" t="s">
        <v>244</v>
      </c>
      <c r="R48" s="358" t="s">
        <v>244</v>
      </c>
      <c r="S48" s="358" t="s">
        <v>244</v>
      </c>
      <c r="T48" s="359">
        <f>T29</f>
        <v>0</v>
      </c>
      <c r="U48" s="358" t="s">
        <v>244</v>
      </c>
      <c r="V48" s="358" t="s">
        <v>244</v>
      </c>
      <c r="W48" s="358" t="s">
        <v>244</v>
      </c>
      <c r="X48" s="359">
        <f>X39</f>
        <v>0</v>
      </c>
      <c r="Y48" s="358" t="s">
        <v>244</v>
      </c>
      <c r="Z48" s="358" t="s">
        <v>244</v>
      </c>
      <c r="AA48" s="358" t="s">
        <v>244</v>
      </c>
      <c r="AB48" s="358">
        <f>AB26</f>
        <v>1.4189999999999998</v>
      </c>
      <c r="AC48" s="358" t="s">
        <v>244</v>
      </c>
    </row>
    <row r="49" spans="1:29" ht="16.5">
      <c r="A49" s="244" t="s">
        <v>376</v>
      </c>
      <c r="B49" s="245" t="s">
        <v>377</v>
      </c>
      <c r="C49" s="358">
        <v>0</v>
      </c>
      <c r="D49" s="358" t="s">
        <v>244</v>
      </c>
      <c r="E49" s="358">
        <v>0</v>
      </c>
      <c r="F49" s="358">
        <f t="shared" si="2"/>
        <v>0</v>
      </c>
      <c r="G49" s="358">
        <v>0</v>
      </c>
      <c r="H49" s="358">
        <v>0</v>
      </c>
      <c r="I49" s="358" t="s">
        <v>244</v>
      </c>
      <c r="J49" s="358" t="s">
        <v>244</v>
      </c>
      <c r="K49" s="358" t="s">
        <v>244</v>
      </c>
      <c r="L49" s="359">
        <v>0</v>
      </c>
      <c r="M49" s="358" t="s">
        <v>244</v>
      </c>
      <c r="N49" s="358" t="s">
        <v>244</v>
      </c>
      <c r="O49" s="358" t="s">
        <v>244</v>
      </c>
      <c r="P49" s="359">
        <v>0</v>
      </c>
      <c r="Q49" s="358" t="s">
        <v>244</v>
      </c>
      <c r="R49" s="358" t="s">
        <v>244</v>
      </c>
      <c r="S49" s="358" t="s">
        <v>244</v>
      </c>
      <c r="T49" s="359">
        <v>0</v>
      </c>
      <c r="U49" s="358" t="s">
        <v>244</v>
      </c>
      <c r="V49" s="358" t="s">
        <v>244</v>
      </c>
      <c r="W49" s="358" t="s">
        <v>244</v>
      </c>
      <c r="X49" s="359">
        <v>0</v>
      </c>
      <c r="Y49" s="358" t="s">
        <v>244</v>
      </c>
      <c r="Z49" s="358" t="s">
        <v>244</v>
      </c>
      <c r="AA49" s="358" t="s">
        <v>244</v>
      </c>
      <c r="AB49" s="358">
        <v>0</v>
      </c>
      <c r="AC49" s="358" t="s">
        <v>244</v>
      </c>
    </row>
    <row r="50" spans="1:29" ht="16.5">
      <c r="A50" s="244" t="s">
        <v>378</v>
      </c>
      <c r="B50" s="247" t="s">
        <v>379</v>
      </c>
      <c r="C50" s="358">
        <v>0.63</v>
      </c>
      <c r="D50" s="358" t="s">
        <v>244</v>
      </c>
      <c r="E50" s="358">
        <v>0.63</v>
      </c>
      <c r="F50" s="358">
        <v>0.63</v>
      </c>
      <c r="G50" s="359">
        <f t="shared" ref="G50:K50" si="9">SUM(G51:G57)</f>
        <v>0</v>
      </c>
      <c r="H50" s="358">
        <v>0</v>
      </c>
      <c r="I50" s="359">
        <f t="shared" si="9"/>
        <v>0</v>
      </c>
      <c r="J50" s="359">
        <f t="shared" si="9"/>
        <v>0</v>
      </c>
      <c r="K50" s="359">
        <f t="shared" si="9"/>
        <v>0</v>
      </c>
      <c r="L50" s="359">
        <v>0</v>
      </c>
      <c r="M50" s="358" t="s">
        <v>244</v>
      </c>
      <c r="N50" s="358" t="s">
        <v>244</v>
      </c>
      <c r="O50" s="358" t="s">
        <v>244</v>
      </c>
      <c r="P50" s="358">
        <v>0.63</v>
      </c>
      <c r="Q50" s="358" t="s">
        <v>244</v>
      </c>
      <c r="R50" s="358" t="s">
        <v>244</v>
      </c>
      <c r="S50" s="358" t="s">
        <v>244</v>
      </c>
      <c r="T50" s="359">
        <v>0</v>
      </c>
      <c r="U50" s="358" t="s">
        <v>244</v>
      </c>
      <c r="V50" s="358" t="s">
        <v>244</v>
      </c>
      <c r="W50" s="358" t="s">
        <v>244</v>
      </c>
      <c r="X50" s="359">
        <v>0</v>
      </c>
      <c r="Y50" s="358" t="s">
        <v>244</v>
      </c>
      <c r="Z50" s="358" t="s">
        <v>244</v>
      </c>
      <c r="AA50" s="358" t="s">
        <v>244</v>
      </c>
      <c r="AB50" s="358">
        <v>0.63</v>
      </c>
      <c r="AC50" s="358" t="s">
        <v>244</v>
      </c>
    </row>
    <row r="51" spans="1:29" ht="16.5">
      <c r="A51" s="244" t="s">
        <v>380</v>
      </c>
      <c r="B51" s="247" t="s">
        <v>381</v>
      </c>
      <c r="C51" s="358">
        <v>0</v>
      </c>
      <c r="D51" s="358" t="s">
        <v>244</v>
      </c>
      <c r="E51" s="358">
        <v>0</v>
      </c>
      <c r="F51" s="358">
        <f t="shared" si="2"/>
        <v>0</v>
      </c>
      <c r="G51" s="358">
        <v>0</v>
      </c>
      <c r="H51" s="358">
        <v>0</v>
      </c>
      <c r="I51" s="358" t="s">
        <v>244</v>
      </c>
      <c r="J51" s="358" t="s">
        <v>244</v>
      </c>
      <c r="K51" s="358" t="s">
        <v>244</v>
      </c>
      <c r="L51" s="359">
        <v>0</v>
      </c>
      <c r="M51" s="358" t="s">
        <v>244</v>
      </c>
      <c r="N51" s="358" t="s">
        <v>244</v>
      </c>
      <c r="O51" s="358" t="s">
        <v>244</v>
      </c>
      <c r="P51" s="359">
        <v>0</v>
      </c>
      <c r="Q51" s="358" t="s">
        <v>244</v>
      </c>
      <c r="R51" s="358" t="s">
        <v>244</v>
      </c>
      <c r="S51" s="358" t="s">
        <v>244</v>
      </c>
      <c r="T51" s="359">
        <v>0</v>
      </c>
      <c r="U51" s="358" t="s">
        <v>244</v>
      </c>
      <c r="V51" s="358" t="s">
        <v>244</v>
      </c>
      <c r="W51" s="358" t="s">
        <v>244</v>
      </c>
      <c r="X51" s="359">
        <v>0</v>
      </c>
      <c r="Y51" s="358" t="s">
        <v>244</v>
      </c>
      <c r="Z51" s="358" t="s">
        <v>244</v>
      </c>
      <c r="AA51" s="358" t="s">
        <v>244</v>
      </c>
      <c r="AB51" s="358">
        <v>0</v>
      </c>
      <c r="AC51" s="358" t="s">
        <v>244</v>
      </c>
    </row>
    <row r="52" spans="1:29" ht="16.5">
      <c r="A52" s="244" t="s">
        <v>382</v>
      </c>
      <c r="B52" s="247" t="s">
        <v>383</v>
      </c>
      <c r="C52" s="358">
        <v>0</v>
      </c>
      <c r="D52" s="358" t="s">
        <v>244</v>
      </c>
      <c r="E52" s="358">
        <v>0</v>
      </c>
      <c r="F52" s="358">
        <f t="shared" si="2"/>
        <v>0</v>
      </c>
      <c r="G52" s="358">
        <v>0</v>
      </c>
      <c r="H52" s="358">
        <v>0</v>
      </c>
      <c r="I52" s="358" t="s">
        <v>244</v>
      </c>
      <c r="J52" s="358" t="s">
        <v>244</v>
      </c>
      <c r="K52" s="358" t="s">
        <v>244</v>
      </c>
      <c r="L52" s="359">
        <v>0</v>
      </c>
      <c r="M52" s="358" t="s">
        <v>244</v>
      </c>
      <c r="N52" s="358" t="s">
        <v>244</v>
      </c>
      <c r="O52" s="358" t="s">
        <v>244</v>
      </c>
      <c r="P52" s="359">
        <v>0</v>
      </c>
      <c r="Q52" s="358" t="s">
        <v>244</v>
      </c>
      <c r="R52" s="358" t="s">
        <v>244</v>
      </c>
      <c r="S52" s="358" t="s">
        <v>244</v>
      </c>
      <c r="T52" s="359">
        <v>0</v>
      </c>
      <c r="U52" s="358" t="s">
        <v>244</v>
      </c>
      <c r="V52" s="358" t="s">
        <v>244</v>
      </c>
      <c r="W52" s="358" t="s">
        <v>244</v>
      </c>
      <c r="X52" s="359">
        <v>0</v>
      </c>
      <c r="Y52" s="358" t="s">
        <v>244</v>
      </c>
      <c r="Z52" s="358" t="s">
        <v>244</v>
      </c>
      <c r="AA52" s="358" t="s">
        <v>244</v>
      </c>
      <c r="AB52" s="358">
        <v>0</v>
      </c>
      <c r="AC52" s="358" t="s">
        <v>244</v>
      </c>
    </row>
    <row r="53" spans="1:29" ht="19.5">
      <c r="A53" s="244" t="s">
        <v>384</v>
      </c>
      <c r="B53" s="247" t="s">
        <v>385</v>
      </c>
      <c r="C53" s="358">
        <v>0</v>
      </c>
      <c r="D53" s="358" t="s">
        <v>244</v>
      </c>
      <c r="E53" s="358">
        <v>0</v>
      </c>
      <c r="F53" s="358">
        <f t="shared" si="2"/>
        <v>0</v>
      </c>
      <c r="G53" s="358">
        <v>0</v>
      </c>
      <c r="H53" s="358">
        <v>0</v>
      </c>
      <c r="I53" s="358" t="s">
        <v>244</v>
      </c>
      <c r="J53" s="358" t="s">
        <v>244</v>
      </c>
      <c r="K53" s="358" t="s">
        <v>244</v>
      </c>
      <c r="L53" s="359">
        <v>0</v>
      </c>
      <c r="M53" s="358" t="s">
        <v>244</v>
      </c>
      <c r="N53" s="358" t="s">
        <v>244</v>
      </c>
      <c r="O53" s="358" t="s">
        <v>244</v>
      </c>
      <c r="P53" s="359">
        <v>0</v>
      </c>
      <c r="Q53" s="358" t="s">
        <v>244</v>
      </c>
      <c r="R53" s="358" t="s">
        <v>244</v>
      </c>
      <c r="S53" s="358" t="s">
        <v>244</v>
      </c>
      <c r="T53" s="359">
        <v>0</v>
      </c>
      <c r="U53" s="358" t="s">
        <v>244</v>
      </c>
      <c r="V53" s="358" t="s">
        <v>244</v>
      </c>
      <c r="W53" s="358" t="s">
        <v>244</v>
      </c>
      <c r="X53" s="359">
        <v>0</v>
      </c>
      <c r="Y53" s="358" t="s">
        <v>244</v>
      </c>
      <c r="Z53" s="358" t="s">
        <v>244</v>
      </c>
      <c r="AA53" s="358" t="s">
        <v>244</v>
      </c>
      <c r="AB53" s="358">
        <v>0</v>
      </c>
      <c r="AC53" s="358" t="s">
        <v>244</v>
      </c>
    </row>
    <row r="54" spans="1:29" ht="33">
      <c r="A54" s="242" t="s">
        <v>15</v>
      </c>
      <c r="B54" s="250" t="s">
        <v>386</v>
      </c>
      <c r="C54" s="358">
        <v>0</v>
      </c>
      <c r="D54" s="358" t="s">
        <v>244</v>
      </c>
      <c r="E54" s="358">
        <v>0</v>
      </c>
      <c r="F54" s="358">
        <f t="shared" si="2"/>
        <v>0</v>
      </c>
      <c r="G54" s="358">
        <v>0</v>
      </c>
      <c r="H54" s="358">
        <v>0</v>
      </c>
      <c r="I54" s="358" t="s">
        <v>244</v>
      </c>
      <c r="J54" s="358" t="s">
        <v>244</v>
      </c>
      <c r="K54" s="358" t="s">
        <v>244</v>
      </c>
      <c r="L54" s="359">
        <v>0</v>
      </c>
      <c r="M54" s="358" t="s">
        <v>244</v>
      </c>
      <c r="N54" s="358" t="s">
        <v>244</v>
      </c>
      <c r="O54" s="358" t="s">
        <v>244</v>
      </c>
      <c r="P54" s="359">
        <v>0</v>
      </c>
      <c r="Q54" s="358" t="s">
        <v>244</v>
      </c>
      <c r="R54" s="358" t="s">
        <v>244</v>
      </c>
      <c r="S54" s="358" t="s">
        <v>244</v>
      </c>
      <c r="T54" s="359">
        <v>0</v>
      </c>
      <c r="U54" s="358" t="s">
        <v>244</v>
      </c>
      <c r="V54" s="358" t="s">
        <v>244</v>
      </c>
      <c r="W54" s="358" t="s">
        <v>244</v>
      </c>
      <c r="X54" s="359">
        <v>0</v>
      </c>
      <c r="Y54" s="358" t="s">
        <v>244</v>
      </c>
      <c r="Z54" s="358" t="s">
        <v>244</v>
      </c>
      <c r="AA54" s="358" t="s">
        <v>244</v>
      </c>
      <c r="AB54" s="358">
        <v>0</v>
      </c>
      <c r="AC54" s="358" t="s">
        <v>244</v>
      </c>
    </row>
    <row r="55" spans="1:29" ht="16.5">
      <c r="A55" s="242" t="s">
        <v>13</v>
      </c>
      <c r="B55" s="243" t="s">
        <v>387</v>
      </c>
      <c r="C55" s="358">
        <v>0</v>
      </c>
      <c r="D55" s="358" t="s">
        <v>244</v>
      </c>
      <c r="E55" s="358">
        <v>0</v>
      </c>
      <c r="F55" s="358">
        <f t="shared" ref="F55" si="10">G55+H55+L55+P55+T55+X55</f>
        <v>0</v>
      </c>
      <c r="G55" s="358">
        <v>0</v>
      </c>
      <c r="H55" s="358">
        <v>0</v>
      </c>
      <c r="I55" s="358" t="s">
        <v>244</v>
      </c>
      <c r="J55" s="358" t="s">
        <v>244</v>
      </c>
      <c r="K55" s="358" t="s">
        <v>244</v>
      </c>
      <c r="L55" s="359">
        <v>0</v>
      </c>
      <c r="M55" s="358" t="s">
        <v>244</v>
      </c>
      <c r="N55" s="358" t="s">
        <v>244</v>
      </c>
      <c r="O55" s="358" t="s">
        <v>244</v>
      </c>
      <c r="P55" s="359">
        <v>0</v>
      </c>
      <c r="Q55" s="358" t="s">
        <v>244</v>
      </c>
      <c r="R55" s="358" t="s">
        <v>244</v>
      </c>
      <c r="S55" s="358" t="s">
        <v>244</v>
      </c>
      <c r="T55" s="359">
        <v>0</v>
      </c>
      <c r="U55" s="358" t="s">
        <v>244</v>
      </c>
      <c r="V55" s="358" t="s">
        <v>244</v>
      </c>
      <c r="W55" s="358" t="s">
        <v>244</v>
      </c>
      <c r="X55" s="359">
        <v>0</v>
      </c>
      <c r="Y55" s="358" t="s">
        <v>244</v>
      </c>
      <c r="Z55" s="358" t="s">
        <v>244</v>
      </c>
      <c r="AA55" s="358" t="s">
        <v>244</v>
      </c>
      <c r="AB55" s="358">
        <v>0</v>
      </c>
      <c r="AC55" s="358" t="s">
        <v>244</v>
      </c>
    </row>
    <row r="56" spans="1:29" ht="16.5">
      <c r="A56" s="244" t="s">
        <v>388</v>
      </c>
      <c r="B56" s="251" t="s">
        <v>366</v>
      </c>
      <c r="C56" s="358">
        <v>0</v>
      </c>
      <c r="D56" s="358" t="s">
        <v>244</v>
      </c>
      <c r="E56" s="358">
        <v>0</v>
      </c>
      <c r="F56" s="358">
        <f t="shared" si="2"/>
        <v>0</v>
      </c>
      <c r="G56" s="358">
        <v>0</v>
      </c>
      <c r="H56" s="358">
        <v>0</v>
      </c>
      <c r="I56" s="358" t="s">
        <v>244</v>
      </c>
      <c r="J56" s="358" t="s">
        <v>244</v>
      </c>
      <c r="K56" s="358" t="s">
        <v>244</v>
      </c>
      <c r="L56" s="359">
        <v>0</v>
      </c>
      <c r="M56" s="358" t="s">
        <v>244</v>
      </c>
      <c r="N56" s="358" t="s">
        <v>244</v>
      </c>
      <c r="O56" s="358" t="s">
        <v>244</v>
      </c>
      <c r="P56" s="359">
        <v>0</v>
      </c>
      <c r="Q56" s="358" t="s">
        <v>244</v>
      </c>
      <c r="R56" s="358" t="s">
        <v>244</v>
      </c>
      <c r="S56" s="358" t="s">
        <v>244</v>
      </c>
      <c r="T56" s="359">
        <v>0</v>
      </c>
      <c r="U56" s="358" t="s">
        <v>244</v>
      </c>
      <c r="V56" s="358" t="s">
        <v>244</v>
      </c>
      <c r="W56" s="358" t="s">
        <v>244</v>
      </c>
      <c r="X56" s="359">
        <v>0</v>
      </c>
      <c r="Y56" s="358" t="s">
        <v>244</v>
      </c>
      <c r="Z56" s="358" t="s">
        <v>244</v>
      </c>
      <c r="AA56" s="358" t="s">
        <v>244</v>
      </c>
      <c r="AB56" s="358">
        <v>0</v>
      </c>
      <c r="AC56" s="358" t="s">
        <v>244</v>
      </c>
    </row>
    <row r="57" spans="1:29" ht="16.5">
      <c r="A57" s="244" t="s">
        <v>389</v>
      </c>
      <c r="B57" s="251" t="s">
        <v>353</v>
      </c>
      <c r="C57" s="358">
        <v>0.4</v>
      </c>
      <c r="D57" s="358" t="s">
        <v>244</v>
      </c>
      <c r="E57" s="358">
        <v>0.4</v>
      </c>
      <c r="F57" s="358">
        <v>0.4</v>
      </c>
      <c r="G57" s="359">
        <f t="shared" ref="G57:L57" si="11">SUM(G58:G62)</f>
        <v>0</v>
      </c>
      <c r="H57" s="358">
        <v>0</v>
      </c>
      <c r="I57" s="359">
        <f t="shared" si="11"/>
        <v>0</v>
      </c>
      <c r="J57" s="359">
        <f t="shared" si="11"/>
        <v>0</v>
      </c>
      <c r="K57" s="359">
        <f t="shared" si="11"/>
        <v>0</v>
      </c>
      <c r="L57" s="359">
        <f t="shared" si="11"/>
        <v>0</v>
      </c>
      <c r="M57" s="358" t="s">
        <v>244</v>
      </c>
      <c r="N57" s="358" t="s">
        <v>244</v>
      </c>
      <c r="O57" s="358" t="s">
        <v>244</v>
      </c>
      <c r="P57" s="358">
        <v>0.4</v>
      </c>
      <c r="Q57" s="358" t="s">
        <v>244</v>
      </c>
      <c r="R57" s="358" t="s">
        <v>244</v>
      </c>
      <c r="S57" s="358" t="s">
        <v>244</v>
      </c>
      <c r="T57" s="359">
        <v>0</v>
      </c>
      <c r="U57" s="358" t="s">
        <v>244</v>
      </c>
      <c r="V57" s="358" t="s">
        <v>244</v>
      </c>
      <c r="W57" s="358" t="s">
        <v>244</v>
      </c>
      <c r="X57" s="359">
        <v>0</v>
      </c>
      <c r="Y57" s="358" t="s">
        <v>244</v>
      </c>
      <c r="Z57" s="358" t="s">
        <v>244</v>
      </c>
      <c r="AA57" s="358" t="s">
        <v>244</v>
      </c>
      <c r="AB57" s="358">
        <v>0.4</v>
      </c>
      <c r="AC57" s="358" t="s">
        <v>244</v>
      </c>
    </row>
    <row r="58" spans="1:29" ht="16.5">
      <c r="A58" s="244" t="s">
        <v>390</v>
      </c>
      <c r="B58" s="251" t="s">
        <v>355</v>
      </c>
      <c r="C58" s="358">
        <v>0</v>
      </c>
      <c r="D58" s="358" t="s">
        <v>244</v>
      </c>
      <c r="E58" s="358">
        <v>0</v>
      </c>
      <c r="F58" s="358">
        <f t="shared" si="2"/>
        <v>0</v>
      </c>
      <c r="G58" s="358">
        <v>0</v>
      </c>
      <c r="H58" s="359">
        <v>0</v>
      </c>
      <c r="I58" s="358" t="s">
        <v>244</v>
      </c>
      <c r="J58" s="358" t="s">
        <v>244</v>
      </c>
      <c r="K58" s="358" t="s">
        <v>244</v>
      </c>
      <c r="L58" s="359">
        <v>0</v>
      </c>
      <c r="M58" s="358" t="s">
        <v>244</v>
      </c>
      <c r="N58" s="358" t="s">
        <v>244</v>
      </c>
      <c r="O58" s="358" t="s">
        <v>244</v>
      </c>
      <c r="P58" s="359">
        <v>0</v>
      </c>
      <c r="Q58" s="358" t="s">
        <v>244</v>
      </c>
      <c r="R58" s="358" t="s">
        <v>244</v>
      </c>
      <c r="S58" s="358" t="s">
        <v>244</v>
      </c>
      <c r="T58" s="359">
        <v>0</v>
      </c>
      <c r="U58" s="358" t="s">
        <v>244</v>
      </c>
      <c r="V58" s="358" t="s">
        <v>244</v>
      </c>
      <c r="W58" s="358" t="s">
        <v>244</v>
      </c>
      <c r="X58" s="359">
        <v>0</v>
      </c>
      <c r="Y58" s="358" t="s">
        <v>244</v>
      </c>
      <c r="Z58" s="358" t="s">
        <v>244</v>
      </c>
      <c r="AA58" s="358" t="s">
        <v>244</v>
      </c>
      <c r="AB58" s="358">
        <v>0</v>
      </c>
      <c r="AC58" s="358" t="s">
        <v>244</v>
      </c>
    </row>
    <row r="59" spans="1:29" ht="16.5">
      <c r="A59" s="244" t="s">
        <v>391</v>
      </c>
      <c r="B59" s="251" t="s">
        <v>392</v>
      </c>
      <c r="C59" s="358">
        <v>0</v>
      </c>
      <c r="D59" s="358" t="s">
        <v>244</v>
      </c>
      <c r="E59" s="358">
        <v>0</v>
      </c>
      <c r="F59" s="358">
        <f t="shared" si="2"/>
        <v>0</v>
      </c>
      <c r="G59" s="358">
        <v>0</v>
      </c>
      <c r="H59" s="359">
        <v>0</v>
      </c>
      <c r="I59" s="358" t="s">
        <v>244</v>
      </c>
      <c r="J59" s="358" t="s">
        <v>244</v>
      </c>
      <c r="K59" s="358" t="s">
        <v>244</v>
      </c>
      <c r="L59" s="359">
        <v>0</v>
      </c>
      <c r="M59" s="358" t="s">
        <v>244</v>
      </c>
      <c r="N59" s="358" t="s">
        <v>244</v>
      </c>
      <c r="O59" s="358" t="s">
        <v>244</v>
      </c>
      <c r="P59" s="359">
        <v>0</v>
      </c>
      <c r="Q59" s="358" t="s">
        <v>244</v>
      </c>
      <c r="R59" s="358" t="s">
        <v>244</v>
      </c>
      <c r="S59" s="358" t="s">
        <v>244</v>
      </c>
      <c r="T59" s="359">
        <v>0</v>
      </c>
      <c r="U59" s="358" t="s">
        <v>244</v>
      </c>
      <c r="V59" s="358" t="s">
        <v>244</v>
      </c>
      <c r="W59" s="358" t="s">
        <v>244</v>
      </c>
      <c r="X59" s="359">
        <v>0</v>
      </c>
      <c r="Y59" s="358" t="s">
        <v>244</v>
      </c>
      <c r="Z59" s="358" t="s">
        <v>244</v>
      </c>
      <c r="AA59" s="358" t="s">
        <v>244</v>
      </c>
      <c r="AB59" s="358">
        <v>0</v>
      </c>
      <c r="AC59" s="358" t="s">
        <v>244</v>
      </c>
    </row>
    <row r="60" spans="1:29" ht="19.5">
      <c r="A60" s="244" t="s">
        <v>393</v>
      </c>
      <c r="B60" s="247" t="s">
        <v>385</v>
      </c>
      <c r="C60" s="249">
        <v>0</v>
      </c>
      <c r="D60" s="358" t="s">
        <v>244</v>
      </c>
      <c r="E60" s="249">
        <v>0</v>
      </c>
      <c r="F60" s="249">
        <f t="shared" si="2"/>
        <v>0</v>
      </c>
      <c r="G60" s="249">
        <v>0</v>
      </c>
      <c r="H60" s="248">
        <v>0</v>
      </c>
      <c r="I60" s="249" t="s">
        <v>244</v>
      </c>
      <c r="J60" s="249" t="s">
        <v>244</v>
      </c>
      <c r="K60" s="249" t="s">
        <v>244</v>
      </c>
      <c r="L60" s="248">
        <v>0</v>
      </c>
      <c r="M60" s="249" t="s">
        <v>244</v>
      </c>
      <c r="N60" s="249" t="s">
        <v>244</v>
      </c>
      <c r="O60" s="249" t="s">
        <v>244</v>
      </c>
      <c r="P60" s="248">
        <v>0</v>
      </c>
      <c r="Q60" s="249" t="s">
        <v>244</v>
      </c>
      <c r="R60" s="249" t="s">
        <v>244</v>
      </c>
      <c r="S60" s="249" t="s">
        <v>244</v>
      </c>
      <c r="T60" s="248">
        <v>0</v>
      </c>
      <c r="U60" s="249" t="s">
        <v>244</v>
      </c>
      <c r="V60" s="249" t="s">
        <v>244</v>
      </c>
      <c r="W60" s="249" t="s">
        <v>244</v>
      </c>
      <c r="X60" s="248">
        <v>0</v>
      </c>
      <c r="Y60" s="249" t="s">
        <v>244</v>
      </c>
      <c r="Z60" s="249" t="s">
        <v>244</v>
      </c>
      <c r="AA60" s="249" t="s">
        <v>244</v>
      </c>
      <c r="AB60" s="249">
        <v>0</v>
      </c>
      <c r="AC60" s="358" t="s">
        <v>244</v>
      </c>
    </row>
    <row r="61" spans="1:29">
      <c r="A61" s="252"/>
      <c r="B61" s="253"/>
      <c r="C61" s="253"/>
      <c r="D61" s="253"/>
      <c r="E61" s="253"/>
      <c r="F61" s="253"/>
      <c r="G61" s="253"/>
      <c r="H61" s="253"/>
      <c r="I61" s="253"/>
      <c r="J61" s="253"/>
      <c r="K61" s="253"/>
      <c r="L61" s="252"/>
      <c r="M61" s="252"/>
      <c r="T61" s="252"/>
      <c r="U61" s="252"/>
    </row>
    <row r="62" spans="1:29" ht="54" customHeight="1">
      <c r="B62" s="454"/>
      <c r="C62" s="454"/>
      <c r="D62" s="454"/>
      <c r="E62" s="454"/>
      <c r="F62" s="454"/>
      <c r="G62" s="454"/>
      <c r="H62" s="454"/>
      <c r="I62" s="454"/>
      <c r="J62" s="325"/>
      <c r="K62" s="325"/>
      <c r="L62" s="254"/>
      <c r="M62" s="254"/>
      <c r="N62" s="254"/>
      <c r="O62" s="254"/>
      <c r="P62" s="254"/>
      <c r="Q62" s="254"/>
      <c r="R62" s="254"/>
      <c r="S62" s="254"/>
      <c r="T62" s="254"/>
      <c r="U62" s="254"/>
      <c r="V62" s="254"/>
      <c r="W62" s="254"/>
      <c r="X62" s="254"/>
      <c r="Y62" s="254"/>
      <c r="Z62" s="254"/>
      <c r="AA62" s="254"/>
      <c r="AB62" s="254"/>
    </row>
    <row r="64" spans="1:29" ht="50.25" customHeight="1">
      <c r="B64" s="453"/>
      <c r="C64" s="453"/>
      <c r="D64" s="453"/>
      <c r="E64" s="453"/>
      <c r="F64" s="453"/>
      <c r="G64" s="453"/>
      <c r="H64" s="453"/>
      <c r="I64" s="453"/>
      <c r="J64" s="324"/>
      <c r="K64" s="324"/>
    </row>
    <row r="66" spans="2:22" ht="36.75" customHeight="1">
      <c r="B66" s="454"/>
      <c r="C66" s="454"/>
      <c r="D66" s="454"/>
      <c r="E66" s="454"/>
      <c r="F66" s="454"/>
      <c r="G66" s="454"/>
      <c r="H66" s="454"/>
      <c r="I66" s="454"/>
      <c r="J66" s="325"/>
      <c r="K66" s="325"/>
    </row>
    <row r="67" spans="2:22">
      <c r="B67" s="39"/>
      <c r="C67" s="39"/>
      <c r="D67" s="39"/>
      <c r="E67" s="39"/>
      <c r="F67" s="39"/>
      <c r="N67" s="255"/>
      <c r="V67" s="255"/>
    </row>
    <row r="68" spans="2:22" ht="51" customHeight="1">
      <c r="B68" s="454"/>
      <c r="C68" s="454"/>
      <c r="D68" s="454"/>
      <c r="E68" s="454"/>
      <c r="F68" s="454"/>
      <c r="G68" s="454"/>
      <c r="H68" s="454"/>
      <c r="I68" s="454"/>
      <c r="J68" s="325"/>
      <c r="K68" s="325"/>
      <c r="N68" s="255"/>
      <c r="V68" s="255"/>
    </row>
    <row r="69" spans="2:22" ht="32.25" customHeight="1">
      <c r="B69" s="453"/>
      <c r="C69" s="453"/>
      <c r="D69" s="453"/>
      <c r="E69" s="453"/>
      <c r="F69" s="453"/>
      <c r="G69" s="453"/>
      <c r="H69" s="453"/>
      <c r="I69" s="453"/>
      <c r="J69" s="324"/>
      <c r="K69" s="324"/>
    </row>
    <row r="70" spans="2:22" ht="51.75" customHeight="1">
      <c r="B70" s="454"/>
      <c r="C70" s="454"/>
      <c r="D70" s="454"/>
      <c r="E70" s="454"/>
      <c r="F70" s="454"/>
      <c r="G70" s="454"/>
      <c r="H70" s="454"/>
      <c r="I70" s="454"/>
      <c r="J70" s="325"/>
      <c r="K70" s="325"/>
    </row>
    <row r="71" spans="2:22" ht="21.75" customHeight="1">
      <c r="B71" s="455"/>
      <c r="C71" s="455"/>
      <c r="D71" s="455"/>
      <c r="E71" s="455"/>
      <c r="F71" s="455"/>
      <c r="G71" s="455"/>
      <c r="H71" s="455"/>
      <c r="I71" s="455"/>
      <c r="J71" s="326"/>
      <c r="K71" s="326"/>
      <c r="L71" s="256"/>
      <c r="M71" s="256"/>
      <c r="T71" s="256"/>
      <c r="U71" s="256"/>
    </row>
    <row r="72" spans="2:22" ht="23.25" customHeight="1">
      <c r="B72" s="256"/>
      <c r="C72" s="256"/>
      <c r="D72" s="256"/>
      <c r="E72" s="256"/>
      <c r="F72" s="256"/>
    </row>
    <row r="73" spans="2:22" ht="18.75" customHeight="1">
      <c r="B73" s="452"/>
      <c r="C73" s="452"/>
      <c r="D73" s="452"/>
      <c r="E73" s="452"/>
      <c r="F73" s="452"/>
      <c r="G73" s="452"/>
      <c r="H73" s="452"/>
      <c r="I73" s="452"/>
      <c r="J73" s="323"/>
      <c r="K73" s="323"/>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I21:K25 M21:O25 Q21:S25 U21:W25 Y21:AA25 G56:G60 I27:K30 I48:K54 I56:K60 G48:G54 G40:G46 E21:F60 I32:K38 I40:K46 G32:G38 G27:G30 G21:G25 X21:X23 T21:T23 P21:P23 L21:L23 L28:L30 P28:P30 T28:T30 X28:X30 G26:AA26 P46 C20:AA20 C50:F50 H21:H57 AC20:AC60 C20:E60 C31:K31 C39:K39 C55:K55 Y48:AA60 U48:W60 Q48:S60 M48:O60 C57:F57 C41:K41 C33:K33 Y27:AA46 U27:W46 Q27:S46 M27:O46">
    <cfRule type="containsText" dxfId="22" priority="35" operator="containsText" text="х!">
      <formula>NOT(ISERROR(SEARCH("х!",C18)))</formula>
    </cfRule>
  </conditionalFormatting>
  <conditionalFormatting sqref="AC21:AC60">
    <cfRule type="containsText" dxfId="21" priority="34" operator="containsText" text="х!">
      <formula>NOT(ISERROR(SEARCH("х!",AC21)))</formula>
    </cfRule>
  </conditionalFormatting>
  <conditionalFormatting sqref="I21:K25 M21:O25 Q21:S25 U21:W25 Y21:AA25 G56:G60 I27:K30 I48:K54 I56:K60 G48:G54 G40:G46 E21:F60 I32:K38 I40:K46 G32:G38 G27:G30 G21:G25 X21:X23 T21:T23 P21:P23 L21:L23 L28:L30 P28:P30 T28:T30 X28:X30 G26:AA26 P46 C20:AA20 C50:F50 H21:H57 AC20:AC60 C20:E60 C31:K31 C39:K39 C55:K55 Y48:AA60 U48:W60 Q48:S60 M48:O60 C57:F57 C41:K41 C33:K33 Y27:AA46 U27:W46 Q27:S46 M27:O46">
    <cfRule type="containsBlanks" dxfId="20" priority="33">
      <formula>LEN(TRIM(C20))=0</formula>
    </cfRule>
  </conditionalFormatting>
  <conditionalFormatting sqref="AB20:AB60">
    <cfRule type="containsText" dxfId="19" priority="18" operator="containsText" text="х!">
      <formula>NOT(ISERROR(SEARCH("х!",AB20)))</formula>
    </cfRule>
  </conditionalFormatting>
  <conditionalFormatting sqref="AB20:AB60">
    <cfRule type="containsBlanks" dxfId="18" priority="17">
      <formula>LEN(TRIM(AB20))=0</formula>
    </cfRule>
  </conditionalFormatting>
  <conditionalFormatting sqref="P57">
    <cfRule type="containsText" dxfId="17" priority="16" operator="containsText" text="х!">
      <formula>NOT(ISERROR(SEARCH("х!",P57)))</formula>
    </cfRule>
  </conditionalFormatting>
  <conditionalFormatting sqref="P57">
    <cfRule type="containsBlanks" dxfId="16" priority="15">
      <formula>LEN(TRIM(P57))=0</formula>
    </cfRule>
  </conditionalFormatting>
  <conditionalFormatting sqref="P50">
    <cfRule type="containsText" dxfId="15" priority="14" operator="containsText" text="х!">
      <formula>NOT(ISERROR(SEARCH("х!",P50)))</formula>
    </cfRule>
  </conditionalFormatting>
  <conditionalFormatting sqref="P50">
    <cfRule type="containsBlanks" dxfId="14" priority="13">
      <formula>LEN(TRIM(P50))=0</formula>
    </cfRule>
  </conditionalFormatting>
  <conditionalFormatting sqref="AB50">
    <cfRule type="containsText" dxfId="13" priority="12" operator="containsText" text="х!">
      <formula>NOT(ISERROR(SEARCH("х!",AB50)))</formula>
    </cfRule>
  </conditionalFormatting>
  <conditionalFormatting sqref="AB50">
    <cfRule type="containsBlanks" dxfId="12" priority="11">
      <formula>LEN(TRIM(AB50))=0</formula>
    </cfRule>
  </conditionalFormatting>
  <conditionalFormatting sqref="P41">
    <cfRule type="containsText" dxfId="11" priority="10" operator="containsText" text="х!">
      <formula>NOT(ISERROR(SEARCH("х!",P41)))</formula>
    </cfRule>
  </conditionalFormatting>
  <conditionalFormatting sqref="P41">
    <cfRule type="containsBlanks" dxfId="10" priority="9">
      <formula>LEN(TRIM(P41))=0</formula>
    </cfRule>
  </conditionalFormatting>
  <conditionalFormatting sqref="AB41">
    <cfRule type="containsText" dxfId="9" priority="8" operator="containsText" text="х!">
      <formula>NOT(ISERROR(SEARCH("х!",AB41)))</formula>
    </cfRule>
  </conditionalFormatting>
  <conditionalFormatting sqref="AB41">
    <cfRule type="containsBlanks" dxfId="8" priority="7">
      <formula>LEN(TRIM(AB41))=0</formula>
    </cfRule>
  </conditionalFormatting>
  <conditionalFormatting sqref="P33">
    <cfRule type="containsText" dxfId="7" priority="6" operator="containsText" text="х!">
      <formula>NOT(ISERROR(SEARCH("х!",P33)))</formula>
    </cfRule>
  </conditionalFormatting>
  <conditionalFormatting sqref="P33">
    <cfRule type="containsBlanks" dxfId="6" priority="5">
      <formula>LEN(TRIM(P33))=0</formula>
    </cfRule>
  </conditionalFormatting>
  <conditionalFormatting sqref="AB33">
    <cfRule type="containsText" dxfId="5" priority="4" operator="containsText" text="х!">
      <formula>NOT(ISERROR(SEARCH("х!",AB33)))</formula>
    </cfRule>
  </conditionalFormatting>
  <conditionalFormatting sqref="AB33">
    <cfRule type="containsBlanks" dxfId="4" priority="3">
      <formula>LEN(TRIM(AB33))=0</formula>
    </cfRule>
  </conditionalFormatting>
  <conditionalFormatting sqref="L27">
    <cfRule type="containsText" dxfId="3" priority="2" operator="containsText" text="х!">
      <formula>NOT(ISERROR(SEARCH("х!",L27)))</formula>
    </cfRule>
  </conditionalFormatting>
  <conditionalFormatting sqref="L27">
    <cfRule type="containsBlanks" dxfId="1" priority="1">
      <formula>LEN(TRIM(L27))=0</formula>
    </cfRule>
  </conditionalFormatting>
  <pageMargins left="0" right="0" top="0" bottom="0" header="0.31496062992125984" footer="0.31496062992125984"/>
  <pageSetup paperSize="8" scale="54"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D21" sqref="D21"/>
    </sheetView>
  </sheetViews>
  <sheetFormatPr defaultColWidth="9.140625" defaultRowHeight="15"/>
  <cols>
    <col min="1" max="1" width="6.140625" style="257" customWidth="1"/>
    <col min="2" max="2" width="18.7109375" style="257" customWidth="1"/>
    <col min="3" max="3" width="13.85546875" style="257" customWidth="1"/>
    <col min="4" max="4" width="15.140625" style="257" customWidth="1"/>
    <col min="5" max="10" width="7.7109375" style="257" customWidth="1"/>
    <col min="11" max="11" width="6.42578125" style="257" customWidth="1"/>
    <col min="12" max="12" width="7.7109375" style="257" customWidth="1"/>
    <col min="13" max="15" width="10.7109375" style="257" customWidth="1"/>
    <col min="16" max="16" width="17.28515625" style="257" customWidth="1"/>
    <col min="17" max="17" width="14.28515625" style="257" customWidth="1"/>
    <col min="18" max="18" width="17" style="257" customWidth="1"/>
    <col min="19" max="19" width="7.85546875" style="257" customWidth="1"/>
    <col min="20" max="20" width="8.5703125" style="257" customWidth="1"/>
    <col min="21" max="21" width="11.42578125" style="257" customWidth="1"/>
    <col min="22" max="22" width="12.7109375" style="257" customWidth="1"/>
    <col min="23" max="23" width="12.42578125" style="257" customWidth="1"/>
    <col min="24" max="24" width="12.28515625" style="257" customWidth="1"/>
    <col min="25" max="25" width="13.140625" style="257" customWidth="1"/>
    <col min="26" max="26" width="11" style="257" customWidth="1"/>
    <col min="27" max="27" width="13.42578125" style="257" customWidth="1"/>
    <col min="28" max="28" width="16.140625" style="257" customWidth="1"/>
    <col min="29" max="29" width="18.28515625" style="257" customWidth="1"/>
    <col min="30" max="30" width="11.85546875" style="257" customWidth="1"/>
    <col min="31" max="31" width="17.140625" style="257" customWidth="1"/>
    <col min="32" max="32" width="11.7109375" style="257" customWidth="1"/>
    <col min="33" max="33" width="11.5703125" style="257" customWidth="1"/>
    <col min="34" max="35" width="9.7109375" style="257" customWidth="1"/>
    <col min="36" max="36" width="11.7109375" style="257" customWidth="1"/>
    <col min="37" max="37" width="13.5703125" style="257" customWidth="1"/>
    <col min="38" max="38" width="14.28515625" style="257" customWidth="1"/>
    <col min="39" max="39" width="11.42578125" style="257" customWidth="1"/>
    <col min="40" max="40" width="8.7109375" style="257" customWidth="1"/>
    <col min="41" max="41" width="9.7109375" style="257" customWidth="1"/>
    <col min="42" max="42" width="12.42578125" style="257" customWidth="1"/>
    <col min="43" max="43" width="8" style="257" customWidth="1"/>
    <col min="44" max="44" width="16.7109375" style="257" customWidth="1"/>
    <col min="45" max="45" width="14.7109375" style="257" customWidth="1"/>
    <col min="46" max="46" width="14.85546875" style="257" customWidth="1"/>
    <col min="47" max="47" width="12" style="257" customWidth="1"/>
    <col min="48" max="48" width="14" style="257" customWidth="1"/>
    <col min="49" max="16384" width="9.140625" style="257"/>
  </cols>
  <sheetData>
    <row r="1" spans="1:48"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c r="AB1" s="388"/>
      <c r="AC1" s="388"/>
      <c r="AD1" s="388"/>
      <c r="AE1" s="388"/>
      <c r="AF1" s="388"/>
      <c r="AG1" s="388"/>
      <c r="AH1" s="388"/>
      <c r="AI1" s="388"/>
      <c r="AJ1" s="388"/>
      <c r="AK1" s="388"/>
      <c r="AL1" s="388"/>
      <c r="AM1" s="388"/>
      <c r="AN1" s="388"/>
      <c r="AO1" s="388"/>
      <c r="AP1" s="388"/>
      <c r="AQ1" s="388"/>
      <c r="AR1" s="388"/>
      <c r="AS1" s="388"/>
      <c r="AT1" s="388"/>
      <c r="AU1" s="388"/>
      <c r="AV1" s="388"/>
    </row>
    <row r="2" spans="1:48" ht="15.75">
      <c r="A2" s="258"/>
      <c r="B2" s="258"/>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258"/>
      <c r="AO2" s="258"/>
      <c r="AP2" s="258"/>
      <c r="AQ2" s="258"/>
      <c r="AR2" s="258"/>
      <c r="AS2" s="258"/>
      <c r="AT2" s="258"/>
      <c r="AU2" s="258"/>
      <c r="AV2" s="48"/>
    </row>
    <row r="3" spans="1:48" ht="15.75">
      <c r="A3" s="391" t="s">
        <v>9</v>
      </c>
      <c r="B3" s="391"/>
      <c r="C3" s="391"/>
      <c r="D3" s="391"/>
      <c r="E3" s="391"/>
      <c r="F3" s="391"/>
      <c r="G3" s="391"/>
      <c r="H3" s="391"/>
      <c r="I3" s="391"/>
      <c r="J3" s="391"/>
      <c r="K3" s="391"/>
      <c r="L3" s="391"/>
      <c r="M3" s="391"/>
      <c r="N3" s="391"/>
      <c r="O3" s="391"/>
      <c r="P3" s="391"/>
      <c r="Q3" s="391"/>
      <c r="R3" s="391"/>
      <c r="S3" s="391"/>
      <c r="T3" s="391"/>
      <c r="U3" s="391"/>
      <c r="V3" s="391"/>
      <c r="W3" s="391"/>
      <c r="X3" s="391"/>
      <c r="Y3" s="391"/>
      <c r="Z3" s="391"/>
      <c r="AA3" s="391"/>
      <c r="AB3" s="391"/>
      <c r="AC3" s="391"/>
      <c r="AD3" s="391"/>
      <c r="AE3" s="391"/>
      <c r="AF3" s="391"/>
      <c r="AG3" s="391"/>
      <c r="AH3" s="391"/>
      <c r="AI3" s="391"/>
      <c r="AJ3" s="391"/>
      <c r="AK3" s="391"/>
      <c r="AL3" s="391"/>
      <c r="AM3" s="391"/>
      <c r="AN3" s="391"/>
      <c r="AO3" s="391"/>
      <c r="AP3" s="391"/>
      <c r="AQ3" s="391"/>
      <c r="AR3" s="391"/>
      <c r="AS3" s="391"/>
      <c r="AT3" s="391"/>
      <c r="AU3" s="391"/>
      <c r="AV3" s="391"/>
    </row>
    <row r="4" spans="1:48" ht="12" customHeight="1">
      <c r="A4" s="391"/>
      <c r="B4" s="391"/>
      <c r="C4" s="391"/>
      <c r="D4" s="391"/>
      <c r="E4" s="391"/>
      <c r="F4" s="391"/>
      <c r="G4" s="391"/>
      <c r="H4" s="391"/>
      <c r="I4" s="391"/>
      <c r="J4" s="391"/>
      <c r="K4" s="391"/>
      <c r="L4" s="391"/>
      <c r="M4" s="391"/>
      <c r="N4" s="391"/>
      <c r="O4" s="391"/>
      <c r="P4" s="391"/>
      <c r="Q4" s="391"/>
      <c r="R4" s="391"/>
      <c r="S4" s="391"/>
      <c r="T4" s="391"/>
      <c r="U4" s="391"/>
      <c r="V4" s="391"/>
      <c r="W4" s="391"/>
      <c r="X4" s="391"/>
      <c r="Y4" s="391"/>
      <c r="Z4" s="391"/>
      <c r="AA4" s="391"/>
      <c r="AB4" s="391"/>
      <c r="AC4" s="391"/>
      <c r="AD4" s="391"/>
      <c r="AE4" s="391"/>
      <c r="AF4" s="391"/>
      <c r="AG4" s="391"/>
      <c r="AH4" s="391"/>
      <c r="AI4" s="391"/>
      <c r="AJ4" s="391"/>
      <c r="AK4" s="391"/>
      <c r="AL4" s="391"/>
      <c r="AM4" s="391"/>
      <c r="AN4" s="391"/>
      <c r="AO4" s="391"/>
      <c r="AP4" s="391"/>
      <c r="AQ4" s="391"/>
      <c r="AR4" s="391"/>
      <c r="AS4" s="391"/>
      <c r="AT4" s="391"/>
      <c r="AU4" s="391"/>
      <c r="AV4" s="391"/>
    </row>
    <row r="5" spans="1:48" ht="15.75">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395"/>
      <c r="AB5" s="395"/>
      <c r="AC5" s="395"/>
      <c r="AD5" s="395"/>
      <c r="AE5" s="395"/>
      <c r="AF5" s="395"/>
      <c r="AG5" s="395"/>
      <c r="AH5" s="395"/>
      <c r="AI5" s="395"/>
      <c r="AJ5" s="395"/>
      <c r="AK5" s="395"/>
      <c r="AL5" s="395"/>
      <c r="AM5" s="395"/>
      <c r="AN5" s="395"/>
      <c r="AO5" s="395"/>
      <c r="AP5" s="395"/>
      <c r="AQ5" s="395"/>
      <c r="AR5" s="395"/>
      <c r="AS5" s="395"/>
      <c r="AT5" s="395"/>
      <c r="AU5" s="395"/>
      <c r="AV5" s="395"/>
    </row>
    <row r="6" spans="1:48" ht="15.75">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c r="AB6" s="389"/>
      <c r="AC6" s="389"/>
      <c r="AD6" s="389"/>
      <c r="AE6" s="389"/>
      <c r="AF6" s="389"/>
      <c r="AG6" s="389"/>
      <c r="AH6" s="389"/>
      <c r="AI6" s="389"/>
      <c r="AJ6" s="389"/>
      <c r="AK6" s="389"/>
      <c r="AL6" s="389"/>
      <c r="AM6" s="389"/>
      <c r="AN6" s="389"/>
      <c r="AO6" s="389"/>
      <c r="AP6" s="389"/>
      <c r="AQ6" s="389"/>
      <c r="AR6" s="389"/>
      <c r="AS6" s="389"/>
      <c r="AT6" s="389"/>
      <c r="AU6" s="389"/>
      <c r="AV6" s="389"/>
    </row>
    <row r="7" spans="1:48" ht="12" customHeight="1">
      <c r="A7" s="391"/>
      <c r="B7" s="391"/>
      <c r="C7" s="391"/>
      <c r="D7" s="391"/>
      <c r="E7" s="391"/>
      <c r="F7" s="391"/>
      <c r="G7" s="391"/>
      <c r="H7" s="391"/>
      <c r="I7" s="391"/>
      <c r="J7" s="391"/>
      <c r="K7" s="391"/>
      <c r="L7" s="391"/>
      <c r="M7" s="391"/>
      <c r="N7" s="391"/>
      <c r="O7" s="391"/>
      <c r="P7" s="391"/>
      <c r="Q7" s="391"/>
      <c r="R7" s="391"/>
      <c r="S7" s="391"/>
      <c r="T7" s="391"/>
      <c r="U7" s="391"/>
      <c r="V7" s="391"/>
      <c r="W7" s="391"/>
      <c r="X7" s="391"/>
      <c r="Y7" s="391"/>
      <c r="Z7" s="391"/>
      <c r="AA7" s="391"/>
      <c r="AB7" s="391"/>
      <c r="AC7" s="391"/>
      <c r="AD7" s="391"/>
      <c r="AE7" s="391"/>
      <c r="AF7" s="391"/>
      <c r="AG7" s="391"/>
      <c r="AH7" s="391"/>
      <c r="AI7" s="391"/>
      <c r="AJ7" s="391"/>
      <c r="AK7" s="391"/>
      <c r="AL7" s="391"/>
      <c r="AM7" s="391"/>
      <c r="AN7" s="391"/>
      <c r="AO7" s="391"/>
      <c r="AP7" s="391"/>
      <c r="AQ7" s="391"/>
      <c r="AR7" s="391"/>
      <c r="AS7" s="391"/>
      <c r="AT7" s="391"/>
      <c r="AU7" s="391"/>
      <c r="AV7" s="391"/>
    </row>
    <row r="8" spans="1:48" ht="15.75">
      <c r="A8" s="395" t="str">
        <f>' 1. паспорт местополож'!A8:C8</f>
        <v>J_ДВОСТ-149</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395"/>
      <c r="AB8" s="395"/>
      <c r="AC8" s="395"/>
      <c r="AD8" s="395"/>
      <c r="AE8" s="395"/>
      <c r="AF8" s="395"/>
      <c r="AG8" s="395"/>
      <c r="AH8" s="395"/>
      <c r="AI8" s="395"/>
      <c r="AJ8" s="395"/>
      <c r="AK8" s="395"/>
      <c r="AL8" s="395"/>
      <c r="AM8" s="395"/>
      <c r="AN8" s="395"/>
      <c r="AO8" s="395"/>
      <c r="AP8" s="395"/>
      <c r="AQ8" s="395"/>
      <c r="AR8" s="395"/>
      <c r="AS8" s="395"/>
      <c r="AT8" s="395"/>
      <c r="AU8" s="395"/>
      <c r="AV8" s="395"/>
    </row>
    <row r="9" spans="1:48" ht="15.75">
      <c r="A9" s="389" t="s">
        <v>7</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389"/>
      <c r="AB9" s="389"/>
      <c r="AC9" s="389"/>
      <c r="AD9" s="389"/>
      <c r="AE9" s="389"/>
      <c r="AF9" s="389"/>
      <c r="AG9" s="389"/>
      <c r="AH9" s="389"/>
      <c r="AI9" s="389"/>
      <c r="AJ9" s="389"/>
      <c r="AK9" s="389"/>
      <c r="AL9" s="389"/>
      <c r="AM9" s="389"/>
      <c r="AN9" s="389"/>
      <c r="AO9" s="389"/>
      <c r="AP9" s="389"/>
      <c r="AQ9" s="389"/>
      <c r="AR9" s="389"/>
      <c r="AS9" s="389"/>
      <c r="AT9" s="389"/>
      <c r="AU9" s="389"/>
      <c r="AV9" s="389"/>
    </row>
    <row r="10" spans="1:48" ht="12.75" customHeight="1">
      <c r="A10" s="402"/>
      <c r="B10" s="402"/>
      <c r="C10" s="402"/>
      <c r="D10" s="402"/>
      <c r="E10" s="402"/>
      <c r="F10" s="402"/>
      <c r="G10" s="402"/>
      <c r="H10" s="402"/>
      <c r="I10" s="402"/>
      <c r="J10" s="402"/>
      <c r="K10" s="402"/>
      <c r="L10" s="402"/>
      <c r="M10" s="402"/>
      <c r="N10" s="402"/>
      <c r="O10" s="402"/>
      <c r="P10" s="402"/>
      <c r="Q10" s="402"/>
      <c r="R10" s="402"/>
      <c r="S10" s="402"/>
      <c r="T10" s="402"/>
      <c r="U10" s="402"/>
      <c r="V10" s="402"/>
      <c r="W10" s="402"/>
      <c r="X10" s="402"/>
      <c r="Y10" s="402"/>
      <c r="Z10" s="402"/>
      <c r="AA10" s="402"/>
      <c r="AB10" s="402"/>
      <c r="AC10" s="402"/>
      <c r="AD10" s="402"/>
      <c r="AE10" s="402"/>
      <c r="AF10" s="402"/>
      <c r="AG10" s="402"/>
      <c r="AH10" s="402"/>
      <c r="AI10" s="402"/>
      <c r="AJ10" s="402"/>
      <c r="AK10" s="402"/>
      <c r="AL10" s="402"/>
      <c r="AM10" s="402"/>
      <c r="AN10" s="402"/>
      <c r="AO10" s="402"/>
      <c r="AP10" s="402"/>
      <c r="AQ10" s="402"/>
      <c r="AR10" s="402"/>
      <c r="AS10" s="402"/>
      <c r="AT10" s="402"/>
      <c r="AU10" s="402"/>
      <c r="AV10" s="402"/>
    </row>
    <row r="11" spans="1:48" ht="15.75">
      <c r="A11" s="395" t="str">
        <f>' 1. паспорт местополож'!A11:C11</f>
        <v xml:space="preserve">Техническое перевооружение объекта "Оборудование кТП-15" ТП-15. </v>
      </c>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395"/>
      <c r="AB11" s="395"/>
      <c r="AC11" s="395"/>
      <c r="AD11" s="395"/>
      <c r="AE11" s="395"/>
      <c r="AF11" s="395"/>
      <c r="AG11" s="395"/>
      <c r="AH11" s="395"/>
      <c r="AI11" s="395"/>
      <c r="AJ11" s="395"/>
      <c r="AK11" s="395"/>
      <c r="AL11" s="395"/>
      <c r="AM11" s="395"/>
      <c r="AN11" s="395"/>
      <c r="AO11" s="395"/>
      <c r="AP11" s="395"/>
      <c r="AQ11" s="395"/>
      <c r="AR11" s="395"/>
      <c r="AS11" s="395"/>
      <c r="AT11" s="395"/>
      <c r="AU11" s="395"/>
      <c r="AV11" s="395"/>
    </row>
    <row r="12" spans="1:48" ht="15.75">
      <c r="A12" s="389" t="s">
        <v>5</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389"/>
      <c r="AB12" s="389"/>
      <c r="AC12" s="389"/>
      <c r="AD12" s="389"/>
      <c r="AE12" s="389"/>
      <c r="AF12" s="389"/>
      <c r="AG12" s="389"/>
      <c r="AH12" s="389"/>
      <c r="AI12" s="389"/>
      <c r="AJ12" s="389"/>
      <c r="AK12" s="389"/>
      <c r="AL12" s="389"/>
      <c r="AM12" s="389"/>
      <c r="AN12" s="389"/>
      <c r="AO12" s="389"/>
      <c r="AP12" s="389"/>
      <c r="AQ12" s="389"/>
      <c r="AR12" s="389"/>
      <c r="AS12" s="389"/>
      <c r="AT12" s="389"/>
      <c r="AU12" s="389"/>
      <c r="AV12" s="389"/>
    </row>
    <row r="13" spans="1:48" ht="15.7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422"/>
      <c r="AB13" s="422"/>
      <c r="AC13" s="422"/>
      <c r="AD13" s="422"/>
      <c r="AE13" s="422"/>
      <c r="AF13" s="422"/>
      <c r="AG13" s="422"/>
      <c r="AH13" s="422"/>
      <c r="AI13" s="422"/>
      <c r="AJ13" s="422"/>
      <c r="AK13" s="422"/>
      <c r="AL13" s="422"/>
      <c r="AM13" s="422"/>
      <c r="AN13" s="422"/>
      <c r="AO13" s="422"/>
      <c r="AP13" s="422"/>
      <c r="AQ13" s="422"/>
      <c r="AR13" s="422"/>
      <c r="AS13" s="422"/>
      <c r="AT13" s="422"/>
      <c r="AU13" s="422"/>
      <c r="AV13" s="422"/>
    </row>
    <row r="14" spans="1:48" ht="14.25" customHeight="1">
      <c r="A14" s="422"/>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422"/>
      <c r="AB14" s="422"/>
      <c r="AC14" s="422"/>
      <c r="AD14" s="422"/>
      <c r="AE14" s="422"/>
      <c r="AF14" s="422"/>
      <c r="AG14" s="422"/>
      <c r="AH14" s="422"/>
      <c r="AI14" s="422"/>
      <c r="AJ14" s="422"/>
      <c r="AK14" s="422"/>
      <c r="AL14" s="422"/>
      <c r="AM14" s="422"/>
      <c r="AN14" s="422"/>
      <c r="AO14" s="422"/>
      <c r="AP14" s="422"/>
      <c r="AQ14" s="422"/>
      <c r="AR14" s="422"/>
      <c r="AS14" s="422"/>
      <c r="AT14" s="422"/>
      <c r="AU14" s="422"/>
      <c r="AV14" s="422"/>
    </row>
    <row r="15" spans="1:48" ht="15.75">
      <c r="A15" s="422"/>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422"/>
      <c r="AB15" s="422"/>
      <c r="AC15" s="422"/>
      <c r="AD15" s="422"/>
      <c r="AE15" s="422"/>
      <c r="AF15" s="422"/>
      <c r="AG15" s="422"/>
      <c r="AH15" s="422"/>
      <c r="AI15" s="422"/>
      <c r="AJ15" s="422"/>
      <c r="AK15" s="422"/>
      <c r="AL15" s="422"/>
      <c r="AM15" s="422"/>
      <c r="AN15" s="422"/>
      <c r="AO15" s="422"/>
      <c r="AP15" s="422"/>
      <c r="AQ15" s="422"/>
      <c r="AR15" s="422"/>
      <c r="AS15" s="422"/>
      <c r="AT15" s="422"/>
      <c r="AU15" s="422"/>
      <c r="AV15" s="422"/>
    </row>
    <row r="16" spans="1:48" s="259" customFormat="1" ht="34.5" customHeight="1">
      <c r="A16" s="485" t="s">
        <v>394</v>
      </c>
      <c r="B16" s="485"/>
      <c r="C16" s="485"/>
      <c r="D16" s="485"/>
      <c r="E16" s="485"/>
      <c r="F16" s="485"/>
      <c r="G16" s="485"/>
      <c r="H16" s="485"/>
      <c r="I16" s="485"/>
      <c r="J16" s="485"/>
      <c r="K16" s="485"/>
      <c r="L16" s="485"/>
      <c r="M16" s="485"/>
      <c r="N16" s="485"/>
      <c r="O16" s="485"/>
      <c r="P16" s="485"/>
      <c r="Q16" s="485"/>
      <c r="R16" s="485"/>
      <c r="S16" s="485"/>
      <c r="T16" s="485"/>
      <c r="U16" s="485"/>
      <c r="V16" s="485"/>
      <c r="W16" s="485"/>
      <c r="X16" s="485"/>
      <c r="Y16" s="485"/>
      <c r="Z16" s="485"/>
      <c r="AA16" s="485"/>
      <c r="AB16" s="485"/>
      <c r="AC16" s="485"/>
      <c r="AD16" s="485"/>
      <c r="AE16" s="485"/>
      <c r="AF16" s="485"/>
      <c r="AG16" s="485"/>
      <c r="AH16" s="485"/>
      <c r="AI16" s="485"/>
      <c r="AJ16" s="485"/>
      <c r="AK16" s="485"/>
      <c r="AL16" s="485"/>
      <c r="AM16" s="485"/>
      <c r="AN16" s="485"/>
      <c r="AO16" s="485"/>
      <c r="AP16" s="485"/>
      <c r="AQ16" s="485"/>
      <c r="AR16" s="485"/>
      <c r="AS16" s="485"/>
      <c r="AT16" s="485"/>
      <c r="AU16" s="485"/>
      <c r="AV16" s="485"/>
    </row>
    <row r="17" spans="1:55" s="260" customFormat="1" ht="140.25" customHeight="1">
      <c r="A17" s="480" t="s">
        <v>395</v>
      </c>
      <c r="B17" s="487" t="s">
        <v>396</v>
      </c>
      <c r="C17" s="480" t="s">
        <v>397</v>
      </c>
      <c r="D17" s="480" t="s">
        <v>398</v>
      </c>
      <c r="E17" s="490" t="s">
        <v>399</v>
      </c>
      <c r="F17" s="491"/>
      <c r="G17" s="491"/>
      <c r="H17" s="491"/>
      <c r="I17" s="491"/>
      <c r="J17" s="491"/>
      <c r="K17" s="491"/>
      <c r="L17" s="492"/>
      <c r="M17" s="480" t="s">
        <v>400</v>
      </c>
      <c r="N17" s="480" t="s">
        <v>401</v>
      </c>
      <c r="O17" s="480" t="s">
        <v>402</v>
      </c>
      <c r="P17" s="479" t="s">
        <v>403</v>
      </c>
      <c r="Q17" s="479" t="s">
        <v>404</v>
      </c>
      <c r="R17" s="479" t="s">
        <v>405</v>
      </c>
      <c r="S17" s="479" t="s">
        <v>406</v>
      </c>
      <c r="T17" s="479"/>
      <c r="U17" s="479" t="s">
        <v>407</v>
      </c>
      <c r="V17" s="479" t="s">
        <v>408</v>
      </c>
      <c r="W17" s="479" t="s">
        <v>409</v>
      </c>
      <c r="X17" s="479" t="s">
        <v>410</v>
      </c>
      <c r="Y17" s="479" t="s">
        <v>411</v>
      </c>
      <c r="Z17" s="482" t="s">
        <v>412</v>
      </c>
      <c r="AA17" s="479" t="s">
        <v>413</v>
      </c>
      <c r="AB17" s="479" t="s">
        <v>414</v>
      </c>
      <c r="AC17" s="479" t="s">
        <v>415</v>
      </c>
      <c r="AD17" s="479" t="s">
        <v>416</v>
      </c>
      <c r="AE17" s="479" t="s">
        <v>417</v>
      </c>
      <c r="AF17" s="479" t="s">
        <v>418</v>
      </c>
      <c r="AG17" s="479"/>
      <c r="AH17" s="479"/>
      <c r="AI17" s="479"/>
      <c r="AJ17" s="479"/>
      <c r="AK17" s="479"/>
      <c r="AL17" s="479" t="s">
        <v>419</v>
      </c>
      <c r="AM17" s="479"/>
      <c r="AN17" s="479"/>
      <c r="AO17" s="479"/>
      <c r="AP17" s="479" t="s">
        <v>420</v>
      </c>
      <c r="AQ17" s="479"/>
      <c r="AR17" s="479" t="s">
        <v>421</v>
      </c>
      <c r="AS17" s="479" t="s">
        <v>422</v>
      </c>
      <c r="AT17" s="479" t="s">
        <v>423</v>
      </c>
      <c r="AU17" s="479" t="s">
        <v>424</v>
      </c>
      <c r="AV17" s="479" t="s">
        <v>425</v>
      </c>
    </row>
    <row r="18" spans="1:55" s="260" customFormat="1" ht="19.5">
      <c r="A18" s="486"/>
      <c r="B18" s="488"/>
      <c r="C18" s="486"/>
      <c r="D18" s="486"/>
      <c r="E18" s="480" t="s">
        <v>426</v>
      </c>
      <c r="F18" s="475" t="s">
        <v>377</v>
      </c>
      <c r="G18" s="475" t="s">
        <v>379</v>
      </c>
      <c r="H18" s="475" t="s">
        <v>381</v>
      </c>
      <c r="I18" s="473" t="s">
        <v>427</v>
      </c>
      <c r="J18" s="473" t="s">
        <v>428</v>
      </c>
      <c r="K18" s="473" t="s">
        <v>429</v>
      </c>
      <c r="L18" s="475" t="s">
        <v>34</v>
      </c>
      <c r="M18" s="486"/>
      <c r="N18" s="486"/>
      <c r="O18" s="486"/>
      <c r="P18" s="479"/>
      <c r="Q18" s="479"/>
      <c r="R18" s="479"/>
      <c r="S18" s="477" t="s">
        <v>1</v>
      </c>
      <c r="T18" s="477" t="s">
        <v>430</v>
      </c>
      <c r="U18" s="479"/>
      <c r="V18" s="479"/>
      <c r="W18" s="479"/>
      <c r="X18" s="479"/>
      <c r="Y18" s="479"/>
      <c r="Z18" s="479"/>
      <c r="AA18" s="479"/>
      <c r="AB18" s="479"/>
      <c r="AC18" s="479"/>
      <c r="AD18" s="479"/>
      <c r="AE18" s="479"/>
      <c r="AF18" s="479" t="s">
        <v>431</v>
      </c>
      <c r="AG18" s="479"/>
      <c r="AH18" s="479" t="s">
        <v>432</v>
      </c>
      <c r="AI18" s="479"/>
      <c r="AJ18" s="480" t="s">
        <v>433</v>
      </c>
      <c r="AK18" s="480" t="s">
        <v>434</v>
      </c>
      <c r="AL18" s="480" t="s">
        <v>435</v>
      </c>
      <c r="AM18" s="480" t="s">
        <v>436</v>
      </c>
      <c r="AN18" s="480" t="s">
        <v>437</v>
      </c>
      <c r="AO18" s="480" t="s">
        <v>438</v>
      </c>
      <c r="AP18" s="480" t="s">
        <v>439</v>
      </c>
      <c r="AQ18" s="483" t="s">
        <v>430</v>
      </c>
      <c r="AR18" s="479"/>
      <c r="AS18" s="479"/>
      <c r="AT18" s="479"/>
      <c r="AU18" s="479"/>
      <c r="AV18" s="479"/>
    </row>
    <row r="19" spans="1:55" s="260" customFormat="1" ht="78">
      <c r="A19" s="481"/>
      <c r="B19" s="489"/>
      <c r="C19" s="481"/>
      <c r="D19" s="481"/>
      <c r="E19" s="481"/>
      <c r="F19" s="476"/>
      <c r="G19" s="476"/>
      <c r="H19" s="476"/>
      <c r="I19" s="474"/>
      <c r="J19" s="474"/>
      <c r="K19" s="474"/>
      <c r="L19" s="476"/>
      <c r="M19" s="481"/>
      <c r="N19" s="481"/>
      <c r="O19" s="481"/>
      <c r="P19" s="479"/>
      <c r="Q19" s="479"/>
      <c r="R19" s="479"/>
      <c r="S19" s="478"/>
      <c r="T19" s="478"/>
      <c r="U19" s="479"/>
      <c r="V19" s="479"/>
      <c r="W19" s="479"/>
      <c r="X19" s="479"/>
      <c r="Y19" s="479"/>
      <c r="Z19" s="479"/>
      <c r="AA19" s="479"/>
      <c r="AB19" s="479"/>
      <c r="AC19" s="479"/>
      <c r="AD19" s="479"/>
      <c r="AE19" s="479"/>
      <c r="AF19" s="261" t="s">
        <v>440</v>
      </c>
      <c r="AG19" s="261" t="s">
        <v>441</v>
      </c>
      <c r="AH19" s="262" t="s">
        <v>1</v>
      </c>
      <c r="AI19" s="262" t="s">
        <v>430</v>
      </c>
      <c r="AJ19" s="481"/>
      <c r="AK19" s="481"/>
      <c r="AL19" s="481"/>
      <c r="AM19" s="481"/>
      <c r="AN19" s="481"/>
      <c r="AO19" s="481"/>
      <c r="AP19" s="481"/>
      <c r="AQ19" s="484"/>
      <c r="AR19" s="479"/>
      <c r="AS19" s="479"/>
      <c r="AT19" s="479"/>
      <c r="AU19" s="479"/>
      <c r="AV19" s="479"/>
    </row>
    <row r="20" spans="1:55" s="264" customFormat="1" ht="11.25">
      <c r="A20" s="263">
        <v>1</v>
      </c>
      <c r="B20" s="263">
        <v>2</v>
      </c>
      <c r="C20" s="263">
        <v>4</v>
      </c>
      <c r="D20" s="263">
        <v>5</v>
      </c>
      <c r="E20" s="263">
        <v>6</v>
      </c>
      <c r="F20" s="263">
        <f>E20+1</f>
        <v>7</v>
      </c>
      <c r="G20" s="263">
        <f t="shared" ref="G20:AV20" si="0">F20+1</f>
        <v>8</v>
      </c>
      <c r="H20" s="263">
        <f t="shared" si="0"/>
        <v>9</v>
      </c>
      <c r="I20" s="263">
        <f t="shared" si="0"/>
        <v>10</v>
      </c>
      <c r="J20" s="263">
        <f t="shared" si="0"/>
        <v>11</v>
      </c>
      <c r="K20" s="263">
        <f t="shared" si="0"/>
        <v>12</v>
      </c>
      <c r="L20" s="263">
        <f t="shared" si="0"/>
        <v>13</v>
      </c>
      <c r="M20" s="263">
        <f t="shared" si="0"/>
        <v>14</v>
      </c>
      <c r="N20" s="263">
        <f t="shared" si="0"/>
        <v>15</v>
      </c>
      <c r="O20" s="263">
        <f t="shared" si="0"/>
        <v>16</v>
      </c>
      <c r="P20" s="263">
        <f t="shared" si="0"/>
        <v>17</v>
      </c>
      <c r="Q20" s="263">
        <f t="shared" si="0"/>
        <v>18</v>
      </c>
      <c r="R20" s="263">
        <f t="shared" si="0"/>
        <v>19</v>
      </c>
      <c r="S20" s="263">
        <f t="shared" si="0"/>
        <v>20</v>
      </c>
      <c r="T20" s="263">
        <f t="shared" si="0"/>
        <v>21</v>
      </c>
      <c r="U20" s="263">
        <f t="shared" si="0"/>
        <v>22</v>
      </c>
      <c r="V20" s="263">
        <f t="shared" si="0"/>
        <v>23</v>
      </c>
      <c r="W20" s="263">
        <f t="shared" si="0"/>
        <v>24</v>
      </c>
      <c r="X20" s="263">
        <f t="shared" si="0"/>
        <v>25</v>
      </c>
      <c r="Y20" s="263">
        <f t="shared" si="0"/>
        <v>26</v>
      </c>
      <c r="Z20" s="263">
        <f t="shared" si="0"/>
        <v>27</v>
      </c>
      <c r="AA20" s="263">
        <f t="shared" si="0"/>
        <v>28</v>
      </c>
      <c r="AB20" s="263">
        <f t="shared" si="0"/>
        <v>29</v>
      </c>
      <c r="AC20" s="263">
        <f t="shared" si="0"/>
        <v>30</v>
      </c>
      <c r="AD20" s="263">
        <f t="shared" si="0"/>
        <v>31</v>
      </c>
      <c r="AE20" s="263">
        <f t="shared" si="0"/>
        <v>32</v>
      </c>
      <c r="AF20" s="263">
        <f t="shared" si="0"/>
        <v>33</v>
      </c>
      <c r="AG20" s="263">
        <f t="shared" si="0"/>
        <v>34</v>
      </c>
      <c r="AH20" s="263">
        <f t="shared" si="0"/>
        <v>35</v>
      </c>
      <c r="AI20" s="263">
        <f t="shared" si="0"/>
        <v>36</v>
      </c>
      <c r="AJ20" s="263">
        <f t="shared" si="0"/>
        <v>37</v>
      </c>
      <c r="AK20" s="263">
        <f t="shared" si="0"/>
        <v>38</v>
      </c>
      <c r="AL20" s="263">
        <f t="shared" si="0"/>
        <v>39</v>
      </c>
      <c r="AM20" s="263">
        <f t="shared" si="0"/>
        <v>40</v>
      </c>
      <c r="AN20" s="263">
        <f t="shared" si="0"/>
        <v>41</v>
      </c>
      <c r="AO20" s="263">
        <f t="shared" si="0"/>
        <v>42</v>
      </c>
      <c r="AP20" s="263">
        <f t="shared" si="0"/>
        <v>43</v>
      </c>
      <c r="AQ20" s="263">
        <f t="shared" si="0"/>
        <v>44</v>
      </c>
      <c r="AR20" s="263">
        <f t="shared" si="0"/>
        <v>45</v>
      </c>
      <c r="AS20" s="263">
        <f t="shared" si="0"/>
        <v>46</v>
      </c>
      <c r="AT20" s="263">
        <f t="shared" si="0"/>
        <v>47</v>
      </c>
      <c r="AU20" s="263">
        <f t="shared" si="0"/>
        <v>48</v>
      </c>
      <c r="AV20" s="263">
        <f t="shared" si="0"/>
        <v>49</v>
      </c>
    </row>
    <row r="21" spans="1:55" s="271" customFormat="1" ht="35.25" customHeight="1">
      <c r="A21" s="265" t="s">
        <v>244</v>
      </c>
      <c r="B21" s="266" t="s">
        <v>244</v>
      </c>
      <c r="C21" s="267" t="s">
        <v>244</v>
      </c>
      <c r="D21" s="265" t="s">
        <v>244</v>
      </c>
      <c r="E21" s="265" t="s">
        <v>244</v>
      </c>
      <c r="F21" s="265" t="s">
        <v>244</v>
      </c>
      <c r="G21" s="265" t="s">
        <v>244</v>
      </c>
      <c r="H21" s="265" t="s">
        <v>244</v>
      </c>
      <c r="I21" s="265" t="s">
        <v>244</v>
      </c>
      <c r="J21" s="265" t="s">
        <v>244</v>
      </c>
      <c r="K21" s="265" t="s">
        <v>244</v>
      </c>
      <c r="L21" s="265" t="s">
        <v>244</v>
      </c>
      <c r="M21" s="267" t="s">
        <v>244</v>
      </c>
      <c r="N21" s="267" t="s">
        <v>244</v>
      </c>
      <c r="O21" s="267" t="s">
        <v>244</v>
      </c>
      <c r="P21" s="268" t="s">
        <v>244</v>
      </c>
      <c r="Q21" s="267" t="s">
        <v>244</v>
      </c>
      <c r="R21" s="268" t="s">
        <v>244</v>
      </c>
      <c r="S21" s="267" t="s">
        <v>244</v>
      </c>
      <c r="T21" s="267" t="s">
        <v>244</v>
      </c>
      <c r="U21" s="265" t="s">
        <v>244</v>
      </c>
      <c r="V21" s="265" t="s">
        <v>244</v>
      </c>
      <c r="W21" s="267" t="s">
        <v>244</v>
      </c>
      <c r="X21" s="268" t="s">
        <v>244</v>
      </c>
      <c r="Y21" s="267" t="s">
        <v>244</v>
      </c>
      <c r="Z21" s="269" t="s">
        <v>244</v>
      </c>
      <c r="AA21" s="268" t="s">
        <v>244</v>
      </c>
      <c r="AB21" s="268" t="s">
        <v>244</v>
      </c>
      <c r="AC21" s="268" t="s">
        <v>244</v>
      </c>
      <c r="AD21" s="268" t="s">
        <v>244</v>
      </c>
      <c r="AE21" s="268" t="s">
        <v>244</v>
      </c>
      <c r="AF21" s="265" t="s">
        <v>244</v>
      </c>
      <c r="AG21" s="267" t="s">
        <v>244</v>
      </c>
      <c r="AH21" s="269" t="s">
        <v>244</v>
      </c>
      <c r="AI21" s="269" t="s">
        <v>244</v>
      </c>
      <c r="AJ21" s="269" t="s">
        <v>244</v>
      </c>
      <c r="AK21" s="269" t="s">
        <v>244</v>
      </c>
      <c r="AL21" s="267" t="s">
        <v>244</v>
      </c>
      <c r="AM21" s="267" t="s">
        <v>244</v>
      </c>
      <c r="AN21" s="269" t="s">
        <v>244</v>
      </c>
      <c r="AO21" s="267" t="s">
        <v>244</v>
      </c>
      <c r="AP21" s="269" t="s">
        <v>244</v>
      </c>
      <c r="AQ21" s="269" t="s">
        <v>244</v>
      </c>
      <c r="AR21" s="269" t="s">
        <v>244</v>
      </c>
      <c r="AS21" s="269" t="s">
        <v>244</v>
      </c>
      <c r="AT21" s="269" t="s">
        <v>244</v>
      </c>
      <c r="AU21" s="267" t="s">
        <v>244</v>
      </c>
      <c r="AV21" s="267" t="s">
        <v>244</v>
      </c>
      <c r="AW21" s="270"/>
      <c r="AX21" s="270"/>
      <c r="AY21" s="270"/>
      <c r="AZ21" s="270"/>
      <c r="BA21" s="270"/>
      <c r="BB21" s="270"/>
      <c r="BC21" s="270"/>
    </row>
    <row r="22" spans="1:55" s="274" customFormat="1" ht="26.25" customHeight="1">
      <c r="A22" s="272"/>
      <c r="B22" s="273"/>
      <c r="C22" s="471"/>
      <c r="D22" s="471"/>
      <c r="E22" s="471"/>
      <c r="F22" s="471"/>
      <c r="G22" s="471"/>
      <c r="H22" s="471"/>
      <c r="I22" s="471"/>
      <c r="J22" s="471"/>
      <c r="K22" s="471"/>
      <c r="L22" s="471"/>
      <c r="M22" s="471"/>
      <c r="N22" s="471"/>
      <c r="O22" s="471"/>
      <c r="P22" s="471"/>
      <c r="Q22" s="471"/>
      <c r="R22" s="471"/>
      <c r="S22" s="471"/>
      <c r="T22" s="471"/>
      <c r="U22" s="471"/>
      <c r="V22" s="471"/>
      <c r="W22" s="471"/>
      <c r="X22" s="471"/>
      <c r="Y22" s="471"/>
      <c r="Z22" s="471"/>
      <c r="AA22" s="471"/>
      <c r="AB22" s="471"/>
      <c r="AC22" s="471"/>
      <c r="AD22" s="471"/>
      <c r="AE22" s="471"/>
      <c r="AF22" s="471"/>
      <c r="AG22" s="471"/>
      <c r="AH22" s="471"/>
      <c r="AI22" s="471"/>
      <c r="AJ22" s="471"/>
      <c r="AK22" s="471"/>
      <c r="AL22" s="472"/>
      <c r="AM22" s="472"/>
      <c r="AN22" s="472"/>
      <c r="AO22" s="472"/>
      <c r="AP22" s="472"/>
      <c r="AQ22" s="472"/>
      <c r="AR22" s="472"/>
      <c r="AS22" s="472"/>
      <c r="AT22" s="472"/>
      <c r="AU22" s="472"/>
      <c r="AV22" s="472"/>
      <c r="AW22" s="272"/>
      <c r="AX22" s="272"/>
      <c r="AY22" s="272"/>
      <c r="AZ22" s="272"/>
      <c r="BA22" s="272"/>
      <c r="BB22" s="272"/>
      <c r="BC22" s="272"/>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view="pageBreakPreview" topLeftCell="A3" zoomScale="70" zoomScaleNormal="90" zoomScaleSheetLayoutView="70" workbookViewId="0">
      <selection activeCell="B27" sqref="B27"/>
    </sheetView>
  </sheetViews>
  <sheetFormatPr defaultRowHeight="15.75"/>
  <cols>
    <col min="1" max="1" width="87.140625" style="285" customWidth="1"/>
    <col min="2" max="2" width="83.28515625" style="285" customWidth="1"/>
    <col min="3" max="3" width="66.140625" style="285" customWidth="1"/>
    <col min="4" max="257" width="9.140625" style="276"/>
    <col min="258" max="259" width="66.140625" style="276" customWidth="1"/>
    <col min="260" max="513" width="9.140625" style="276"/>
    <col min="514" max="515" width="66.140625" style="276" customWidth="1"/>
    <col min="516" max="769" width="9.140625" style="276"/>
    <col min="770" max="771" width="66.140625" style="276" customWidth="1"/>
    <col min="772" max="1025" width="9.140625" style="276"/>
    <col min="1026" max="1027" width="66.140625" style="276" customWidth="1"/>
    <col min="1028" max="1281" width="9.140625" style="276"/>
    <col min="1282" max="1283" width="66.140625" style="276" customWidth="1"/>
    <col min="1284" max="1537" width="9.140625" style="276"/>
    <col min="1538" max="1539" width="66.140625" style="276" customWidth="1"/>
    <col min="1540" max="1793" width="9.140625" style="276"/>
    <col min="1794" max="1795" width="66.140625" style="276" customWidth="1"/>
    <col min="1796" max="2049" width="9.140625" style="276"/>
    <col min="2050" max="2051" width="66.140625" style="276" customWidth="1"/>
    <col min="2052" max="2305" width="9.140625" style="276"/>
    <col min="2306" max="2307" width="66.140625" style="276" customWidth="1"/>
    <col min="2308" max="2561" width="9.140625" style="276"/>
    <col min="2562" max="2563" width="66.140625" style="276" customWidth="1"/>
    <col min="2564" max="2817" width="9.140625" style="276"/>
    <col min="2818" max="2819" width="66.140625" style="276" customWidth="1"/>
    <col min="2820" max="3073" width="9.140625" style="276"/>
    <col min="3074" max="3075" width="66.140625" style="276" customWidth="1"/>
    <col min="3076" max="3329" width="9.140625" style="276"/>
    <col min="3330" max="3331" width="66.140625" style="276" customWidth="1"/>
    <col min="3332" max="3585" width="9.140625" style="276"/>
    <col min="3586" max="3587" width="66.140625" style="276" customWidth="1"/>
    <col min="3588" max="3841" width="9.140625" style="276"/>
    <col min="3842" max="3843" width="66.140625" style="276" customWidth="1"/>
    <col min="3844" max="4097" width="9.140625" style="276"/>
    <col min="4098" max="4099" width="66.140625" style="276" customWidth="1"/>
    <col min="4100" max="4353" width="9.140625" style="276"/>
    <col min="4354" max="4355" width="66.140625" style="276" customWidth="1"/>
    <col min="4356" max="4609" width="9.140625" style="276"/>
    <col min="4610" max="4611" width="66.140625" style="276" customWidth="1"/>
    <col min="4612" max="4865" width="9.140625" style="276"/>
    <col min="4866" max="4867" width="66.140625" style="276" customWidth="1"/>
    <col min="4868" max="5121" width="9.140625" style="276"/>
    <col min="5122" max="5123" width="66.140625" style="276" customWidth="1"/>
    <col min="5124" max="5377" width="9.140625" style="276"/>
    <col min="5378" max="5379" width="66.140625" style="276" customWidth="1"/>
    <col min="5380" max="5633" width="9.140625" style="276"/>
    <col min="5634" max="5635" width="66.140625" style="276" customWidth="1"/>
    <col min="5636" max="5889" width="9.140625" style="276"/>
    <col min="5890" max="5891" width="66.140625" style="276" customWidth="1"/>
    <col min="5892" max="6145" width="9.140625" style="276"/>
    <col min="6146" max="6147" width="66.140625" style="276" customWidth="1"/>
    <col min="6148" max="6401" width="9.140625" style="276"/>
    <col min="6402" max="6403" width="66.140625" style="276" customWidth="1"/>
    <col min="6404" max="6657" width="9.140625" style="276"/>
    <col min="6658" max="6659" width="66.140625" style="276" customWidth="1"/>
    <col min="6660" max="6913" width="9.140625" style="276"/>
    <col min="6914" max="6915" width="66.140625" style="276" customWidth="1"/>
    <col min="6916" max="7169" width="9.140625" style="276"/>
    <col min="7170" max="7171" width="66.140625" style="276" customWidth="1"/>
    <col min="7172" max="7425" width="9.140625" style="276"/>
    <col min="7426" max="7427" width="66.140625" style="276" customWidth="1"/>
    <col min="7428" max="7681" width="9.140625" style="276"/>
    <col min="7682" max="7683" width="66.140625" style="276" customWidth="1"/>
    <col min="7684" max="7937" width="9.140625" style="276"/>
    <col min="7938" max="7939" width="66.140625" style="276" customWidth="1"/>
    <col min="7940" max="8193" width="9.140625" style="276"/>
    <col min="8194" max="8195" width="66.140625" style="276" customWidth="1"/>
    <col min="8196" max="8449" width="9.140625" style="276"/>
    <col min="8450" max="8451" width="66.140625" style="276" customWidth="1"/>
    <col min="8452" max="8705" width="9.140625" style="276"/>
    <col min="8706" max="8707" width="66.140625" style="276" customWidth="1"/>
    <col min="8708" max="8961" width="9.140625" style="276"/>
    <col min="8962" max="8963" width="66.140625" style="276" customWidth="1"/>
    <col min="8964" max="9217" width="9.140625" style="276"/>
    <col min="9218" max="9219" width="66.140625" style="276" customWidth="1"/>
    <col min="9220" max="9473" width="9.140625" style="276"/>
    <col min="9474" max="9475" width="66.140625" style="276" customWidth="1"/>
    <col min="9476" max="9729" width="9.140625" style="276"/>
    <col min="9730" max="9731" width="66.140625" style="276" customWidth="1"/>
    <col min="9732" max="9985" width="9.140625" style="276"/>
    <col min="9986" max="9987" width="66.140625" style="276" customWidth="1"/>
    <col min="9988" max="10241" width="9.140625" style="276"/>
    <col min="10242" max="10243" width="66.140625" style="276" customWidth="1"/>
    <col min="10244" max="10497" width="9.140625" style="276"/>
    <col min="10498" max="10499" width="66.140625" style="276" customWidth="1"/>
    <col min="10500" max="10753" width="9.140625" style="276"/>
    <col min="10754" max="10755" width="66.140625" style="276" customWidth="1"/>
    <col min="10756" max="11009" width="9.140625" style="276"/>
    <col min="11010" max="11011" width="66.140625" style="276" customWidth="1"/>
    <col min="11012" max="11265" width="9.140625" style="276"/>
    <col min="11266" max="11267" width="66.140625" style="276" customWidth="1"/>
    <col min="11268" max="11521" width="9.140625" style="276"/>
    <col min="11522" max="11523" width="66.140625" style="276" customWidth="1"/>
    <col min="11524" max="11777" width="9.140625" style="276"/>
    <col min="11778" max="11779" width="66.140625" style="276" customWidth="1"/>
    <col min="11780" max="12033" width="9.140625" style="276"/>
    <col min="12034" max="12035" width="66.140625" style="276" customWidth="1"/>
    <col min="12036" max="12289" width="9.140625" style="276"/>
    <col min="12290" max="12291" width="66.140625" style="276" customWidth="1"/>
    <col min="12292" max="12545" width="9.140625" style="276"/>
    <col min="12546" max="12547" width="66.140625" style="276" customWidth="1"/>
    <col min="12548" max="12801" width="9.140625" style="276"/>
    <col min="12802" max="12803" width="66.140625" style="276" customWidth="1"/>
    <col min="12804" max="13057" width="9.140625" style="276"/>
    <col min="13058" max="13059" width="66.140625" style="276" customWidth="1"/>
    <col min="13060" max="13313" width="9.140625" style="276"/>
    <col min="13314" max="13315" width="66.140625" style="276" customWidth="1"/>
    <col min="13316" max="13569" width="9.140625" style="276"/>
    <col min="13570" max="13571" width="66.140625" style="276" customWidth="1"/>
    <col min="13572" max="13825" width="9.140625" style="276"/>
    <col min="13826" max="13827" width="66.140625" style="276" customWidth="1"/>
    <col min="13828" max="14081" width="9.140625" style="276"/>
    <col min="14082" max="14083" width="66.140625" style="276" customWidth="1"/>
    <col min="14084" max="14337" width="9.140625" style="276"/>
    <col min="14338" max="14339" width="66.140625" style="276" customWidth="1"/>
    <col min="14340" max="14593" width="9.140625" style="276"/>
    <col min="14594" max="14595" width="66.140625" style="276" customWidth="1"/>
    <col min="14596" max="14849" width="9.140625" style="276"/>
    <col min="14850" max="14851" width="66.140625" style="276" customWidth="1"/>
    <col min="14852" max="15105" width="9.140625" style="276"/>
    <col min="15106" max="15107" width="66.140625" style="276" customWidth="1"/>
    <col min="15108" max="15361" width="9.140625" style="276"/>
    <col min="15362" max="15363" width="66.140625" style="276" customWidth="1"/>
    <col min="15364" max="15617" width="9.140625" style="276"/>
    <col min="15618" max="15619" width="66.140625" style="276" customWidth="1"/>
    <col min="15620" max="15873" width="9.140625" style="276"/>
    <col min="15874" max="15875" width="66.140625" style="276" customWidth="1"/>
    <col min="15876" max="16129" width="9.140625" style="276"/>
    <col min="16130" max="16131" width="66.140625" style="276" customWidth="1"/>
    <col min="16132" max="16384" width="9.140625" style="276"/>
  </cols>
  <sheetData>
    <row r="1" spans="1:9" ht="18.75">
      <c r="A1" s="494" t="str">
        <f>' 1. паспорт местополож'!A1:C1</f>
        <v>Год раскрытия информации: 2019 год</v>
      </c>
      <c r="B1" s="494"/>
      <c r="C1" s="275"/>
      <c r="D1" s="275"/>
      <c r="E1" s="275"/>
      <c r="F1" s="275"/>
      <c r="G1" s="275"/>
      <c r="H1" s="275"/>
      <c r="I1" s="275"/>
    </row>
    <row r="2" spans="1:9" ht="18.75">
      <c r="A2" s="277"/>
      <c r="B2" s="277"/>
      <c r="C2" s="277"/>
      <c r="D2" s="278"/>
      <c r="E2" s="278"/>
      <c r="F2" s="278"/>
      <c r="G2" s="278"/>
      <c r="H2" s="278"/>
      <c r="I2" s="278"/>
    </row>
    <row r="3" spans="1:9" ht="18.75">
      <c r="A3" s="391" t="s">
        <v>9</v>
      </c>
      <c r="B3" s="391"/>
      <c r="C3" s="113"/>
      <c r="D3" s="62"/>
      <c r="E3" s="62"/>
      <c r="F3" s="62"/>
      <c r="G3" s="62"/>
      <c r="H3" s="62"/>
      <c r="I3" s="62"/>
    </row>
    <row r="4" spans="1:9" ht="18.75" hidden="1" customHeight="1">
      <c r="A4" s="113"/>
      <c r="B4" s="113"/>
      <c r="C4" s="113"/>
      <c r="D4" s="62"/>
      <c r="E4" s="62"/>
      <c r="F4" s="62"/>
      <c r="G4" s="62"/>
      <c r="H4" s="62"/>
      <c r="I4" s="62"/>
    </row>
    <row r="5" spans="1:9" ht="15.75" hidden="1" customHeight="1">
      <c r="A5" s="279" t="s">
        <v>6</v>
      </c>
      <c r="B5" s="279"/>
      <c r="C5" s="279"/>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95"/>
      <c r="C8" s="279"/>
      <c r="D8" s="63"/>
      <c r="E8" s="63"/>
      <c r="F8" s="63"/>
      <c r="G8" s="63"/>
      <c r="H8" s="63"/>
      <c r="I8" s="63"/>
    </row>
    <row r="9" spans="1:9" ht="18" customHeight="1">
      <c r="A9" s="395" t="str">
        <f>' 1. паспорт местополож'!A8:C8</f>
        <v>J_ДВОСТ-149</v>
      </c>
      <c r="B9" s="395"/>
      <c r="C9" s="279"/>
      <c r="D9" s="63"/>
      <c r="E9" s="63"/>
      <c r="F9" s="63"/>
      <c r="G9" s="63"/>
      <c r="H9" s="63"/>
      <c r="I9" s="63"/>
    </row>
    <row r="10" spans="1:9">
      <c r="A10" s="389" t="s">
        <v>7</v>
      </c>
      <c r="B10" s="389"/>
      <c r="C10" s="64"/>
      <c r="D10" s="64"/>
      <c r="E10" s="64"/>
      <c r="F10" s="64"/>
      <c r="G10" s="64"/>
      <c r="H10" s="64"/>
      <c r="I10" s="64"/>
    </row>
    <row r="11" spans="1:9" ht="18.75">
      <c r="A11" s="112"/>
      <c r="B11" s="112"/>
      <c r="C11" s="112"/>
      <c r="D11" s="9"/>
      <c r="E11" s="9"/>
      <c r="F11" s="9"/>
      <c r="G11" s="9"/>
      <c r="H11" s="9"/>
      <c r="I11" s="9"/>
    </row>
    <row r="12" spans="1:9">
      <c r="A12" s="395" t="str">
        <f>' 1. паспорт местополож'!A11:C11</f>
        <v xml:space="preserve">Техническое перевооружение объекта "Оборудование кТП-15" ТП-15. </v>
      </c>
      <c r="B12" s="395"/>
      <c r="C12" s="279"/>
      <c r="D12" s="63"/>
      <c r="E12" s="63"/>
      <c r="F12" s="63"/>
      <c r="G12" s="63"/>
      <c r="H12" s="63"/>
      <c r="I12" s="63"/>
    </row>
    <row r="13" spans="1:9">
      <c r="A13" s="389" t="s">
        <v>5</v>
      </c>
      <c r="B13" s="389"/>
      <c r="C13" s="64"/>
      <c r="D13" s="64"/>
      <c r="E13" s="64"/>
      <c r="F13" s="64"/>
      <c r="G13" s="64"/>
      <c r="H13" s="64"/>
      <c r="I13" s="64"/>
    </row>
    <row r="14" spans="1:9">
      <c r="A14" s="38"/>
      <c r="B14" s="38"/>
      <c r="C14" s="280"/>
    </row>
    <row r="15" spans="1:9">
      <c r="A15" s="493" t="s">
        <v>442</v>
      </c>
      <c r="B15" s="493"/>
      <c r="C15" s="281"/>
    </row>
    <row r="16" spans="1:9">
      <c r="A16" s="493" t="s">
        <v>443</v>
      </c>
      <c r="B16" s="493"/>
      <c r="C16" s="282"/>
    </row>
    <row r="17" spans="1:3" ht="16.5" thickBot="1">
      <c r="A17" s="38"/>
      <c r="B17" s="38"/>
      <c r="C17" s="282"/>
    </row>
    <row r="18" spans="1:3" ht="16.5" thickBot="1">
      <c r="A18" s="283" t="s">
        <v>444</v>
      </c>
      <c r="B18" s="284" t="str">
        <f>A12</f>
        <v xml:space="preserve">Техническое перевооружение объекта "Оборудование кТП-15" ТП-15. </v>
      </c>
    </row>
    <row r="19" spans="1:3" ht="16.5" thickBot="1">
      <c r="A19" s="283" t="s">
        <v>445</v>
      </c>
      <c r="B19" s="284" t="s">
        <v>568</v>
      </c>
    </row>
    <row r="20" spans="1:3" ht="16.5" thickBot="1">
      <c r="A20" s="283" t="s">
        <v>446</v>
      </c>
      <c r="B20" s="284" t="s">
        <v>244</v>
      </c>
    </row>
    <row r="21" spans="1:3" ht="16.5" thickBot="1">
      <c r="A21" s="283" t="s">
        <v>447</v>
      </c>
      <c r="B21" s="284" t="s">
        <v>582</v>
      </c>
    </row>
    <row r="22" spans="1:3" ht="16.5" thickBot="1">
      <c r="A22" s="286" t="s">
        <v>448</v>
      </c>
      <c r="B22" s="382" t="s">
        <v>583</v>
      </c>
    </row>
    <row r="23" spans="1:3" ht="16.5" thickBot="1">
      <c r="A23" s="287" t="s">
        <v>449</v>
      </c>
      <c r="B23" s="284" t="s">
        <v>244</v>
      </c>
    </row>
    <row r="24" spans="1:3" ht="16.5" thickBot="1">
      <c r="A24" s="288" t="s">
        <v>450</v>
      </c>
      <c r="B24" s="357" t="s">
        <v>244</v>
      </c>
    </row>
    <row r="25" spans="1:3" ht="16.5" thickBot="1">
      <c r="A25" s="289" t="s">
        <v>451</v>
      </c>
      <c r="B25" s="284" t="s">
        <v>244</v>
      </c>
    </row>
    <row r="26" spans="1:3" ht="16.5" thickBot="1">
      <c r="A26" s="290" t="s">
        <v>452</v>
      </c>
      <c r="B26" s="284" t="s">
        <v>244</v>
      </c>
    </row>
    <row r="27" spans="1:3" ht="16.5" thickBot="1">
      <c r="A27" s="290" t="s">
        <v>453</v>
      </c>
      <c r="B27" s="284" t="s">
        <v>244</v>
      </c>
    </row>
    <row r="28" spans="1:3" ht="16.5" thickBot="1">
      <c r="A28" s="289" t="s">
        <v>454</v>
      </c>
      <c r="B28" s="284" t="s">
        <v>244</v>
      </c>
    </row>
    <row r="29" spans="1:3" ht="16.5" thickBot="1">
      <c r="A29" s="290" t="s">
        <v>455</v>
      </c>
      <c r="B29" s="284" t="s">
        <v>244</v>
      </c>
    </row>
    <row r="30" spans="1:3" ht="16.5" thickBot="1">
      <c r="A30" s="289" t="s">
        <v>456</v>
      </c>
      <c r="B30" s="284" t="s">
        <v>244</v>
      </c>
    </row>
    <row r="31" spans="1:3" ht="16.5" thickBot="1">
      <c r="A31" s="289" t="s">
        <v>457</v>
      </c>
      <c r="B31" s="284" t="s">
        <v>244</v>
      </c>
    </row>
    <row r="32" spans="1:3" ht="16.5" thickBot="1">
      <c r="A32" s="289" t="s">
        <v>458</v>
      </c>
      <c r="B32" s="284" t="s">
        <v>244</v>
      </c>
    </row>
    <row r="33" spans="1:2" ht="16.5" thickBot="1">
      <c r="A33" s="289" t="s">
        <v>459</v>
      </c>
      <c r="B33" s="284" t="s">
        <v>244</v>
      </c>
    </row>
    <row r="34" spans="1:2" ht="29.25" thickBot="1">
      <c r="A34" s="290" t="s">
        <v>460</v>
      </c>
      <c r="B34" s="284" t="s">
        <v>244</v>
      </c>
    </row>
    <row r="35" spans="1:2" ht="16.5" thickBot="1">
      <c r="A35" s="289" t="s">
        <v>456</v>
      </c>
      <c r="B35" s="284" t="s">
        <v>244</v>
      </c>
    </row>
    <row r="36" spans="1:2" ht="16.5" thickBot="1">
      <c r="A36" s="289" t="s">
        <v>457</v>
      </c>
      <c r="B36" s="284" t="s">
        <v>244</v>
      </c>
    </row>
    <row r="37" spans="1:2" ht="16.5" thickBot="1">
      <c r="A37" s="289" t="s">
        <v>458</v>
      </c>
      <c r="B37" s="284" t="s">
        <v>244</v>
      </c>
    </row>
    <row r="38" spans="1:2" ht="16.5" thickBot="1">
      <c r="A38" s="289" t="s">
        <v>459</v>
      </c>
      <c r="B38" s="284" t="s">
        <v>244</v>
      </c>
    </row>
    <row r="39" spans="1:2" ht="16.5" thickBot="1">
      <c r="A39" s="290" t="s">
        <v>461</v>
      </c>
      <c r="B39" s="284" t="s">
        <v>244</v>
      </c>
    </row>
    <row r="40" spans="1:2" ht="16.5" thickBot="1">
      <c r="A40" s="289" t="s">
        <v>456</v>
      </c>
      <c r="B40" s="284" t="s">
        <v>244</v>
      </c>
    </row>
    <row r="41" spans="1:2" ht="16.5" thickBot="1">
      <c r="A41" s="289" t="s">
        <v>457</v>
      </c>
      <c r="B41" s="284" t="s">
        <v>244</v>
      </c>
    </row>
    <row r="42" spans="1:2" ht="16.5" thickBot="1">
      <c r="A42" s="289" t="s">
        <v>458</v>
      </c>
      <c r="B42" s="284" t="s">
        <v>244</v>
      </c>
    </row>
    <row r="43" spans="1:2" ht="16.5" thickBot="1">
      <c r="A43" s="289" t="s">
        <v>459</v>
      </c>
      <c r="B43" s="284" t="s">
        <v>244</v>
      </c>
    </row>
    <row r="44" spans="1:2" ht="29.25" thickBot="1">
      <c r="A44" s="291" t="s">
        <v>462</v>
      </c>
      <c r="B44" s="284" t="s">
        <v>244</v>
      </c>
    </row>
    <row r="45" spans="1:2" ht="16.5" thickBot="1">
      <c r="A45" s="292" t="s">
        <v>454</v>
      </c>
      <c r="B45" s="284" t="s">
        <v>244</v>
      </c>
    </row>
    <row r="46" spans="1:2" ht="16.5" thickBot="1">
      <c r="A46" s="292" t="s">
        <v>463</v>
      </c>
      <c r="B46" s="284" t="s">
        <v>244</v>
      </c>
    </row>
    <row r="47" spans="1:2" ht="16.5" thickBot="1">
      <c r="A47" s="292" t="s">
        <v>464</v>
      </c>
      <c r="B47" s="284" t="s">
        <v>244</v>
      </c>
    </row>
    <row r="48" spans="1:2" ht="16.5" thickBot="1">
      <c r="A48" s="292" t="s">
        <v>465</v>
      </c>
      <c r="B48" s="284" t="s">
        <v>244</v>
      </c>
    </row>
    <row r="49" spans="1:2" ht="16.5" thickBot="1">
      <c r="A49" s="286" t="s">
        <v>466</v>
      </c>
      <c r="B49" s="284" t="s">
        <v>244</v>
      </c>
    </row>
    <row r="50" spans="1:2" ht="16.5" thickBot="1">
      <c r="A50" s="286" t="s">
        <v>467</v>
      </c>
      <c r="B50" s="284" t="s">
        <v>244</v>
      </c>
    </row>
    <row r="51" spans="1:2" ht="16.5" thickBot="1">
      <c r="A51" s="286" t="s">
        <v>468</v>
      </c>
      <c r="B51" s="284" t="s">
        <v>244</v>
      </c>
    </row>
    <row r="52" spans="1:2" ht="16.5" thickBot="1">
      <c r="A52" s="287" t="s">
        <v>469</v>
      </c>
      <c r="B52" s="284" t="s">
        <v>244</v>
      </c>
    </row>
    <row r="53" spans="1:2" ht="15.75" customHeight="1" thickBot="1">
      <c r="A53" s="291" t="s">
        <v>470</v>
      </c>
      <c r="B53" s="284" t="s">
        <v>244</v>
      </c>
    </row>
    <row r="54" spans="1:2" ht="16.5" thickBot="1">
      <c r="A54" s="293" t="s">
        <v>471</v>
      </c>
      <c r="B54" s="284" t="s">
        <v>244</v>
      </c>
    </row>
    <row r="55" spans="1:2" ht="16.5" thickBot="1">
      <c r="A55" s="293" t="s">
        <v>472</v>
      </c>
      <c r="B55" s="284" t="s">
        <v>244</v>
      </c>
    </row>
    <row r="56" spans="1:2" ht="16.5" thickBot="1">
      <c r="A56" s="293" t="s">
        <v>473</v>
      </c>
      <c r="B56" s="284" t="s">
        <v>244</v>
      </c>
    </row>
    <row r="57" spans="1:2" ht="16.5" thickBot="1">
      <c r="A57" s="293" t="s">
        <v>474</v>
      </c>
      <c r="B57" s="284" t="s">
        <v>244</v>
      </c>
    </row>
    <row r="58" spans="1:2" ht="16.5" thickBot="1">
      <c r="A58" s="294" t="s">
        <v>475</v>
      </c>
      <c r="B58" s="284" t="s">
        <v>244</v>
      </c>
    </row>
    <row r="59" spans="1:2" ht="16.5" thickBot="1">
      <c r="A59" s="292" t="s">
        <v>476</v>
      </c>
      <c r="B59" s="284" t="s">
        <v>244</v>
      </c>
    </row>
    <row r="60" spans="1:2" ht="29.25" thickBot="1">
      <c r="A60" s="286" t="s">
        <v>477</v>
      </c>
      <c r="B60" s="284" t="s">
        <v>244</v>
      </c>
    </row>
    <row r="61" spans="1:2" ht="16.5" thickBot="1">
      <c r="A61" s="292" t="s">
        <v>454</v>
      </c>
      <c r="B61" s="284" t="s">
        <v>244</v>
      </c>
    </row>
    <row r="62" spans="1:2" ht="16.5" thickBot="1">
      <c r="A62" s="292" t="s">
        <v>478</v>
      </c>
      <c r="B62" s="284" t="s">
        <v>244</v>
      </c>
    </row>
    <row r="63" spans="1:2" ht="16.5" thickBot="1">
      <c r="A63" s="292" t="s">
        <v>479</v>
      </c>
      <c r="B63" s="284" t="s">
        <v>244</v>
      </c>
    </row>
    <row r="64" spans="1:2" ht="16.5" thickBot="1">
      <c r="A64" s="295" t="s">
        <v>480</v>
      </c>
      <c r="B64" s="284" t="s">
        <v>244</v>
      </c>
    </row>
    <row r="65" spans="1:3" ht="16.5" thickBot="1">
      <c r="A65" s="286" t="s">
        <v>481</v>
      </c>
      <c r="B65" s="284" t="s">
        <v>244</v>
      </c>
    </row>
    <row r="66" spans="1:3" ht="16.5" thickBot="1">
      <c r="A66" s="293" t="s">
        <v>482</v>
      </c>
      <c r="B66" s="284" t="s">
        <v>244</v>
      </c>
    </row>
    <row r="67" spans="1:3" ht="16.5" thickBot="1">
      <c r="A67" s="293" t="s">
        <v>483</v>
      </c>
      <c r="B67" s="284" t="s">
        <v>244</v>
      </c>
    </row>
    <row r="68" spans="1:3" ht="16.5" thickBot="1">
      <c r="A68" s="293" t="s">
        <v>484</v>
      </c>
      <c r="B68" s="284" t="s">
        <v>244</v>
      </c>
    </row>
    <row r="69" spans="1:3" ht="16.5" thickBot="1">
      <c r="A69" s="296" t="s">
        <v>485</v>
      </c>
      <c r="B69" s="284" t="s">
        <v>244</v>
      </c>
    </row>
    <row r="70" spans="1:3" ht="15.75" customHeight="1" thickBot="1">
      <c r="A70" s="291" t="s">
        <v>486</v>
      </c>
      <c r="B70" s="284" t="s">
        <v>244</v>
      </c>
    </row>
    <row r="71" spans="1:3" ht="16.5" thickBot="1">
      <c r="A71" s="293" t="s">
        <v>487</v>
      </c>
      <c r="B71" s="284" t="s">
        <v>244</v>
      </c>
    </row>
    <row r="72" spans="1:3" ht="16.5" thickBot="1">
      <c r="A72" s="293" t="s">
        <v>488</v>
      </c>
      <c r="B72" s="284" t="s">
        <v>244</v>
      </c>
    </row>
    <row r="73" spans="1:3" ht="16.5" thickBot="1">
      <c r="A73" s="293" t="s">
        <v>489</v>
      </c>
      <c r="B73" s="284" t="s">
        <v>244</v>
      </c>
    </row>
    <row r="74" spans="1:3" ht="16.5" thickBot="1">
      <c r="A74" s="293" t="s">
        <v>490</v>
      </c>
      <c r="B74" s="284" t="s">
        <v>244</v>
      </c>
    </row>
    <row r="75" spans="1:3" ht="16.5" thickBot="1">
      <c r="A75" s="297" t="s">
        <v>491</v>
      </c>
      <c r="B75" s="284" t="s">
        <v>244</v>
      </c>
    </row>
    <row r="78" spans="1:3">
      <c r="A78" s="298"/>
      <c r="B78" s="298"/>
      <c r="C78" s="299"/>
    </row>
    <row r="79" spans="1:3">
      <c r="C79" s="300"/>
    </row>
    <row r="80" spans="1:3">
      <c r="C80" s="301"/>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504" t="s">
        <v>558</v>
      </c>
      <c r="B1" s="504"/>
      <c r="C1" s="504"/>
      <c r="D1" s="504"/>
      <c r="E1" s="505"/>
      <c r="F1" s="505"/>
      <c r="G1" s="505"/>
      <c r="H1" s="505"/>
      <c r="I1" s="505"/>
      <c r="J1" s="505"/>
      <c r="K1" s="505"/>
      <c r="L1" s="505"/>
      <c r="M1" s="505"/>
      <c r="N1" s="505"/>
      <c r="O1" s="505"/>
      <c r="P1" s="505"/>
      <c r="Q1" s="505"/>
      <c r="R1" s="505"/>
      <c r="S1" s="505"/>
      <c r="T1" s="505"/>
      <c r="U1" s="505"/>
      <c r="V1" s="505"/>
      <c r="W1" s="505"/>
      <c r="X1" s="505"/>
      <c r="Y1" s="505"/>
      <c r="Z1" s="505"/>
      <c r="AA1" s="505"/>
      <c r="AB1" s="505"/>
      <c r="AC1" s="505"/>
      <c r="AD1" s="505"/>
    </row>
    <row r="2" spans="1:30" ht="27.75" customHeight="1">
      <c r="A2" s="506"/>
      <c r="B2" s="506"/>
      <c r="C2" s="506"/>
      <c r="D2" s="506"/>
      <c r="E2" s="506"/>
      <c r="F2" s="506"/>
      <c r="G2" s="506"/>
      <c r="H2" s="506"/>
      <c r="I2" s="506"/>
      <c r="J2" s="506"/>
      <c r="K2" s="506"/>
      <c r="L2" s="506"/>
      <c r="M2" s="506"/>
      <c r="N2" s="506"/>
      <c r="O2" s="506"/>
      <c r="P2" s="506"/>
      <c r="Q2" s="506"/>
      <c r="R2" s="506"/>
      <c r="S2" s="506"/>
      <c r="T2" s="506"/>
      <c r="U2" s="506"/>
      <c r="V2" s="506"/>
      <c r="W2" s="506"/>
      <c r="X2" s="506"/>
      <c r="Y2" s="506"/>
      <c r="Z2" s="506"/>
      <c r="AA2" s="506"/>
      <c r="AB2" s="506"/>
      <c r="AC2" s="506"/>
      <c r="AD2" s="506"/>
    </row>
    <row r="3" spans="1:30" ht="15" customHeight="1">
      <c r="A3" s="500" t="s">
        <v>492</v>
      </c>
      <c r="B3" s="500" t="s">
        <v>493</v>
      </c>
      <c r="C3" s="507" t="s">
        <v>494</v>
      </c>
      <c r="D3" s="508"/>
      <c r="E3" s="509"/>
      <c r="F3" s="503" t="s">
        <v>495</v>
      </c>
      <c r="G3" s="503"/>
      <c r="H3" s="503"/>
      <c r="I3" s="503"/>
      <c r="J3" s="503"/>
      <c r="K3" s="503" t="s">
        <v>496</v>
      </c>
      <c r="L3" s="503"/>
      <c r="M3" s="503"/>
      <c r="N3" s="503"/>
      <c r="O3" s="503"/>
      <c r="P3" s="503" t="s">
        <v>497</v>
      </c>
      <c r="Q3" s="503"/>
      <c r="R3" s="503"/>
      <c r="S3" s="503"/>
      <c r="T3" s="503"/>
      <c r="U3" s="503" t="s">
        <v>498</v>
      </c>
      <c r="V3" s="503"/>
      <c r="W3" s="503"/>
      <c r="X3" s="503"/>
      <c r="Y3" s="503"/>
      <c r="Z3" s="503" t="s">
        <v>499</v>
      </c>
      <c r="AA3" s="503"/>
      <c r="AB3" s="503"/>
      <c r="AC3" s="503"/>
      <c r="AD3" s="503"/>
    </row>
    <row r="4" spans="1:30" ht="15" customHeight="1">
      <c r="A4" s="501"/>
      <c r="B4" s="501"/>
      <c r="C4" s="510"/>
      <c r="D4" s="511"/>
      <c r="E4" s="512"/>
      <c r="F4" s="302" t="s">
        <v>500</v>
      </c>
      <c r="G4" s="302" t="s">
        <v>501</v>
      </c>
      <c r="H4" s="302" t="s">
        <v>502</v>
      </c>
      <c r="I4" s="302" t="s">
        <v>503</v>
      </c>
      <c r="J4" s="302" t="s">
        <v>504</v>
      </c>
      <c r="K4" s="302" t="s">
        <v>500</v>
      </c>
      <c r="L4" s="302" t="s">
        <v>501</v>
      </c>
      <c r="M4" s="302" t="s">
        <v>502</v>
      </c>
      <c r="N4" s="302" t="s">
        <v>503</v>
      </c>
      <c r="O4" s="302" t="s">
        <v>504</v>
      </c>
      <c r="P4" s="302" t="s">
        <v>500</v>
      </c>
      <c r="Q4" s="302" t="s">
        <v>501</v>
      </c>
      <c r="R4" s="302" t="s">
        <v>502</v>
      </c>
      <c r="S4" s="302" t="s">
        <v>503</v>
      </c>
      <c r="T4" s="302" t="s">
        <v>504</v>
      </c>
      <c r="U4" s="302" t="s">
        <v>500</v>
      </c>
      <c r="V4" s="302" t="s">
        <v>501</v>
      </c>
      <c r="W4" s="302" t="s">
        <v>502</v>
      </c>
      <c r="X4" s="302" t="s">
        <v>503</v>
      </c>
      <c r="Y4" s="302" t="s">
        <v>504</v>
      </c>
      <c r="Z4" s="302" t="s">
        <v>500</v>
      </c>
      <c r="AA4" s="302" t="s">
        <v>501</v>
      </c>
      <c r="AB4" s="302" t="s">
        <v>502</v>
      </c>
      <c r="AC4" s="302" t="s">
        <v>503</v>
      </c>
      <c r="AD4" s="50" t="s">
        <v>504</v>
      </c>
    </row>
    <row r="5" spans="1:30" s="305" customFormat="1" ht="15" customHeight="1">
      <c r="A5" s="500" t="s">
        <v>245</v>
      </c>
      <c r="B5" s="503" t="s">
        <v>505</v>
      </c>
      <c r="C5" s="496" t="s">
        <v>506</v>
      </c>
      <c r="D5" s="496" t="s">
        <v>507</v>
      </c>
      <c r="E5" s="303" t="s">
        <v>500</v>
      </c>
      <c r="F5" s="304" t="s">
        <v>244</v>
      </c>
      <c r="G5" s="304" t="s">
        <v>244</v>
      </c>
      <c r="H5" s="304" t="s">
        <v>244</v>
      </c>
      <c r="I5" s="304" t="s">
        <v>244</v>
      </c>
      <c r="J5" s="304" t="s">
        <v>244</v>
      </c>
      <c r="K5" s="304" t="s">
        <v>244</v>
      </c>
      <c r="L5" s="304" t="s">
        <v>244</v>
      </c>
      <c r="M5" s="304" t="s">
        <v>244</v>
      </c>
      <c r="N5" s="304" t="s">
        <v>244</v>
      </c>
      <c r="O5" s="304" t="s">
        <v>244</v>
      </c>
      <c r="P5" s="304" t="s">
        <v>244</v>
      </c>
      <c r="Q5" s="304" t="s">
        <v>244</v>
      </c>
      <c r="R5" s="304" t="s">
        <v>244</v>
      </c>
      <c r="S5" s="304" t="s">
        <v>244</v>
      </c>
      <c r="T5" s="304" t="s">
        <v>244</v>
      </c>
      <c r="U5" s="304" t="s">
        <v>244</v>
      </c>
      <c r="V5" s="304" t="s">
        <v>244</v>
      </c>
      <c r="W5" s="304" t="s">
        <v>244</v>
      </c>
      <c r="X5" s="304" t="s">
        <v>244</v>
      </c>
      <c r="Y5" s="304" t="s">
        <v>244</v>
      </c>
      <c r="Z5" s="304" t="s">
        <v>244</v>
      </c>
      <c r="AA5" s="304" t="s">
        <v>244</v>
      </c>
      <c r="AB5" s="304" t="s">
        <v>244</v>
      </c>
      <c r="AC5" s="304" t="s">
        <v>244</v>
      </c>
      <c r="AD5" s="304" t="s">
        <v>244</v>
      </c>
    </row>
    <row r="6" spans="1:30" s="307" customFormat="1" ht="30">
      <c r="A6" s="501"/>
      <c r="B6" s="503"/>
      <c r="C6" s="496"/>
      <c r="D6" s="496"/>
      <c r="E6" s="306" t="s">
        <v>508</v>
      </c>
      <c r="F6" s="304" t="s">
        <v>244</v>
      </c>
      <c r="G6" s="304" t="s">
        <v>244</v>
      </c>
      <c r="H6" s="304" t="s">
        <v>244</v>
      </c>
      <c r="I6" s="304" t="s">
        <v>244</v>
      </c>
      <c r="J6" s="304" t="s">
        <v>244</v>
      </c>
      <c r="K6" s="304" t="s">
        <v>244</v>
      </c>
      <c r="L6" s="304" t="s">
        <v>244</v>
      </c>
      <c r="M6" s="304" t="s">
        <v>244</v>
      </c>
      <c r="N6" s="304" t="s">
        <v>244</v>
      </c>
      <c r="O6" s="304" t="s">
        <v>244</v>
      </c>
      <c r="P6" s="304" t="s">
        <v>244</v>
      </c>
      <c r="Q6" s="304" t="s">
        <v>244</v>
      </c>
      <c r="R6" s="304" t="s">
        <v>244</v>
      </c>
      <c r="S6" s="304" t="s">
        <v>244</v>
      </c>
      <c r="T6" s="304" t="s">
        <v>244</v>
      </c>
      <c r="U6" s="304" t="s">
        <v>244</v>
      </c>
      <c r="V6" s="304" t="s">
        <v>244</v>
      </c>
      <c r="W6" s="304" t="s">
        <v>244</v>
      </c>
      <c r="X6" s="304" t="s">
        <v>244</v>
      </c>
      <c r="Y6" s="304" t="s">
        <v>244</v>
      </c>
      <c r="Z6" s="304" t="s">
        <v>244</v>
      </c>
      <c r="AA6" s="304" t="s">
        <v>244</v>
      </c>
      <c r="AB6" s="304" t="s">
        <v>244</v>
      </c>
      <c r="AC6" s="304" t="s">
        <v>244</v>
      </c>
      <c r="AD6" s="304" t="s">
        <v>244</v>
      </c>
    </row>
    <row r="7" spans="1:30" s="307" customFormat="1" ht="30.75" customHeight="1">
      <c r="A7" s="501"/>
      <c r="B7" s="503"/>
      <c r="C7" s="496"/>
      <c r="D7" s="496"/>
      <c r="E7" s="303" t="s">
        <v>509</v>
      </c>
      <c r="F7" s="304" t="s">
        <v>244</v>
      </c>
      <c r="G7" s="304" t="s">
        <v>244</v>
      </c>
      <c r="H7" s="304" t="s">
        <v>244</v>
      </c>
      <c r="I7" s="304" t="s">
        <v>244</v>
      </c>
      <c r="J7" s="304" t="s">
        <v>244</v>
      </c>
      <c r="K7" s="304" t="s">
        <v>244</v>
      </c>
      <c r="L7" s="304" t="s">
        <v>244</v>
      </c>
      <c r="M7" s="304" t="s">
        <v>244</v>
      </c>
      <c r="N7" s="304" t="s">
        <v>244</v>
      </c>
      <c r="O7" s="304" t="s">
        <v>244</v>
      </c>
      <c r="P7" s="304" t="s">
        <v>244</v>
      </c>
      <c r="Q7" s="304" t="s">
        <v>244</v>
      </c>
      <c r="R7" s="304" t="s">
        <v>244</v>
      </c>
      <c r="S7" s="304" t="s">
        <v>244</v>
      </c>
      <c r="T7" s="304" t="s">
        <v>244</v>
      </c>
      <c r="U7" s="304" t="s">
        <v>244</v>
      </c>
      <c r="V7" s="304" t="s">
        <v>244</v>
      </c>
      <c r="W7" s="304" t="s">
        <v>244</v>
      </c>
      <c r="X7" s="304" t="s">
        <v>244</v>
      </c>
      <c r="Y7" s="304" t="s">
        <v>244</v>
      </c>
      <c r="Z7" s="304" t="s">
        <v>244</v>
      </c>
      <c r="AA7" s="304" t="s">
        <v>244</v>
      </c>
      <c r="AB7" s="304" t="s">
        <v>244</v>
      </c>
      <c r="AC7" s="304" t="s">
        <v>244</v>
      </c>
      <c r="AD7" s="304" t="s">
        <v>244</v>
      </c>
    </row>
    <row r="8" spans="1:30" s="307" customFormat="1">
      <c r="A8" s="501"/>
      <c r="B8" s="503"/>
      <c r="C8" s="496"/>
      <c r="D8" s="496" t="s">
        <v>510</v>
      </c>
      <c r="E8" s="496"/>
      <c r="F8" s="304" t="s">
        <v>244</v>
      </c>
      <c r="G8" s="304" t="s">
        <v>244</v>
      </c>
      <c r="H8" s="304" t="s">
        <v>244</v>
      </c>
      <c r="I8" s="304" t="s">
        <v>244</v>
      </c>
      <c r="J8" s="304" t="s">
        <v>244</v>
      </c>
      <c r="K8" s="304" t="s">
        <v>244</v>
      </c>
      <c r="L8" s="304" t="s">
        <v>244</v>
      </c>
      <c r="M8" s="304" t="s">
        <v>244</v>
      </c>
      <c r="N8" s="304" t="s">
        <v>244</v>
      </c>
      <c r="O8" s="304" t="s">
        <v>244</v>
      </c>
      <c r="P8" s="304" t="s">
        <v>244</v>
      </c>
      <c r="Q8" s="304" t="s">
        <v>244</v>
      </c>
      <c r="R8" s="304" t="s">
        <v>244</v>
      </c>
      <c r="S8" s="304" t="s">
        <v>244</v>
      </c>
      <c r="T8" s="304" t="s">
        <v>244</v>
      </c>
      <c r="U8" s="304" t="s">
        <v>244</v>
      </c>
      <c r="V8" s="304" t="s">
        <v>244</v>
      </c>
      <c r="W8" s="304" t="s">
        <v>244</v>
      </c>
      <c r="X8" s="304" t="s">
        <v>244</v>
      </c>
      <c r="Y8" s="304" t="s">
        <v>244</v>
      </c>
      <c r="Z8" s="304" t="s">
        <v>244</v>
      </c>
      <c r="AA8" s="304" t="s">
        <v>244</v>
      </c>
      <c r="AB8" s="304" t="s">
        <v>244</v>
      </c>
      <c r="AC8" s="304" t="s">
        <v>244</v>
      </c>
      <c r="AD8" s="304" t="s">
        <v>244</v>
      </c>
    </row>
    <row r="9" spans="1:30" s="307" customFormat="1" ht="35.25" customHeight="1">
      <c r="A9" s="501"/>
      <c r="B9" s="503"/>
      <c r="C9" s="496" t="s">
        <v>511</v>
      </c>
      <c r="D9" s="496" t="s">
        <v>512</v>
      </c>
      <c r="E9" s="496"/>
      <c r="F9" s="304" t="s">
        <v>244</v>
      </c>
      <c r="G9" s="304" t="s">
        <v>244</v>
      </c>
      <c r="H9" s="304" t="s">
        <v>244</v>
      </c>
      <c r="I9" s="304" t="s">
        <v>244</v>
      </c>
      <c r="J9" s="304" t="s">
        <v>244</v>
      </c>
      <c r="K9" s="304" t="s">
        <v>244</v>
      </c>
      <c r="L9" s="304" t="s">
        <v>244</v>
      </c>
      <c r="M9" s="304" t="s">
        <v>244</v>
      </c>
      <c r="N9" s="304" t="s">
        <v>244</v>
      </c>
      <c r="O9" s="304" t="s">
        <v>244</v>
      </c>
      <c r="P9" s="304" t="s">
        <v>244</v>
      </c>
      <c r="Q9" s="304" t="s">
        <v>244</v>
      </c>
      <c r="R9" s="304" t="s">
        <v>244</v>
      </c>
      <c r="S9" s="304" t="s">
        <v>244</v>
      </c>
      <c r="T9" s="304" t="s">
        <v>244</v>
      </c>
      <c r="U9" s="304" t="s">
        <v>244</v>
      </c>
      <c r="V9" s="304" t="s">
        <v>244</v>
      </c>
      <c r="W9" s="304" t="s">
        <v>244</v>
      </c>
      <c r="X9" s="304" t="s">
        <v>244</v>
      </c>
      <c r="Y9" s="304" t="s">
        <v>244</v>
      </c>
      <c r="Z9" s="304" t="s">
        <v>244</v>
      </c>
      <c r="AA9" s="304" t="s">
        <v>244</v>
      </c>
      <c r="AB9" s="304" t="s">
        <v>244</v>
      </c>
      <c r="AC9" s="304" t="s">
        <v>244</v>
      </c>
      <c r="AD9" s="304" t="s">
        <v>244</v>
      </c>
    </row>
    <row r="10" spans="1:30" s="307" customFormat="1" ht="31.5" customHeight="1">
      <c r="A10" s="501"/>
      <c r="B10" s="503"/>
      <c r="C10" s="496"/>
      <c r="D10" s="496" t="s">
        <v>513</v>
      </c>
      <c r="E10" s="496"/>
      <c r="F10" s="304" t="s">
        <v>244</v>
      </c>
      <c r="G10" s="304" t="s">
        <v>244</v>
      </c>
      <c r="H10" s="304" t="s">
        <v>244</v>
      </c>
      <c r="I10" s="304" t="s">
        <v>244</v>
      </c>
      <c r="J10" s="304" t="s">
        <v>244</v>
      </c>
      <c r="K10" s="304" t="s">
        <v>244</v>
      </c>
      <c r="L10" s="304" t="s">
        <v>244</v>
      </c>
      <c r="M10" s="304" t="s">
        <v>244</v>
      </c>
      <c r="N10" s="304" t="s">
        <v>244</v>
      </c>
      <c r="O10" s="304" t="s">
        <v>244</v>
      </c>
      <c r="P10" s="304" t="s">
        <v>244</v>
      </c>
      <c r="Q10" s="304" t="s">
        <v>244</v>
      </c>
      <c r="R10" s="304" t="s">
        <v>244</v>
      </c>
      <c r="S10" s="304" t="s">
        <v>244</v>
      </c>
      <c r="T10" s="304" t="s">
        <v>244</v>
      </c>
      <c r="U10" s="304" t="s">
        <v>244</v>
      </c>
      <c r="V10" s="304" t="s">
        <v>244</v>
      </c>
      <c r="W10" s="304" t="s">
        <v>244</v>
      </c>
      <c r="X10" s="304" t="s">
        <v>244</v>
      </c>
      <c r="Y10" s="304" t="s">
        <v>244</v>
      </c>
      <c r="Z10" s="304" t="s">
        <v>244</v>
      </c>
      <c r="AA10" s="304" t="s">
        <v>244</v>
      </c>
      <c r="AB10" s="304" t="s">
        <v>244</v>
      </c>
      <c r="AC10" s="304" t="s">
        <v>244</v>
      </c>
      <c r="AD10" s="304" t="s">
        <v>244</v>
      </c>
    </row>
    <row r="11" spans="1:30" s="307" customFormat="1" ht="45">
      <c r="A11" s="501"/>
      <c r="B11" s="503"/>
      <c r="C11" s="308" t="s">
        <v>514</v>
      </c>
      <c r="D11" s="496" t="s">
        <v>515</v>
      </c>
      <c r="E11" s="496"/>
      <c r="F11" s="304" t="s">
        <v>244</v>
      </c>
      <c r="G11" s="304" t="s">
        <v>244</v>
      </c>
      <c r="H11" s="304" t="s">
        <v>244</v>
      </c>
      <c r="I11" s="304" t="s">
        <v>244</v>
      </c>
      <c r="J11" s="304" t="s">
        <v>244</v>
      </c>
      <c r="K11" s="304" t="s">
        <v>244</v>
      </c>
      <c r="L11" s="304" t="s">
        <v>244</v>
      </c>
      <c r="M11" s="304" t="s">
        <v>244</v>
      </c>
      <c r="N11" s="304" t="s">
        <v>244</v>
      </c>
      <c r="O11" s="304" t="s">
        <v>244</v>
      </c>
      <c r="P11" s="304" t="s">
        <v>244</v>
      </c>
      <c r="Q11" s="304" t="s">
        <v>244</v>
      </c>
      <c r="R11" s="304" t="s">
        <v>244</v>
      </c>
      <c r="S11" s="304" t="s">
        <v>244</v>
      </c>
      <c r="T11" s="304" t="s">
        <v>244</v>
      </c>
      <c r="U11" s="304" t="s">
        <v>244</v>
      </c>
      <c r="V11" s="304" t="s">
        <v>244</v>
      </c>
      <c r="W11" s="304" t="s">
        <v>244</v>
      </c>
      <c r="X11" s="304" t="s">
        <v>244</v>
      </c>
      <c r="Y11" s="304" t="s">
        <v>244</v>
      </c>
      <c r="Z11" s="304" t="s">
        <v>244</v>
      </c>
      <c r="AA11" s="304" t="s">
        <v>244</v>
      </c>
      <c r="AB11" s="304" t="s">
        <v>244</v>
      </c>
      <c r="AC11" s="304" t="s">
        <v>244</v>
      </c>
      <c r="AD11" s="304" t="s">
        <v>244</v>
      </c>
    </row>
    <row r="12" spans="1:30" s="307" customFormat="1" ht="15" customHeight="1">
      <c r="A12" s="501"/>
      <c r="B12" s="495" t="s">
        <v>516</v>
      </c>
      <c r="C12" s="496" t="s">
        <v>506</v>
      </c>
      <c r="D12" s="496" t="s">
        <v>507</v>
      </c>
      <c r="E12" s="303" t="s">
        <v>500</v>
      </c>
      <c r="F12" s="304" t="s">
        <v>244</v>
      </c>
      <c r="G12" s="304" t="s">
        <v>244</v>
      </c>
      <c r="H12" s="304" t="s">
        <v>244</v>
      </c>
      <c r="I12" s="304" t="s">
        <v>244</v>
      </c>
      <c r="J12" s="304" t="s">
        <v>244</v>
      </c>
      <c r="K12" s="304" t="s">
        <v>244</v>
      </c>
      <c r="L12" s="304" t="s">
        <v>244</v>
      </c>
      <c r="M12" s="304" t="s">
        <v>244</v>
      </c>
      <c r="N12" s="304" t="s">
        <v>244</v>
      </c>
      <c r="O12" s="304" t="s">
        <v>244</v>
      </c>
      <c r="P12" s="304" t="s">
        <v>244</v>
      </c>
      <c r="Q12" s="304" t="s">
        <v>244</v>
      </c>
      <c r="R12" s="304" t="s">
        <v>244</v>
      </c>
      <c r="S12" s="304" t="s">
        <v>244</v>
      </c>
      <c r="T12" s="304" t="s">
        <v>244</v>
      </c>
      <c r="U12" s="304" t="s">
        <v>244</v>
      </c>
      <c r="V12" s="304" t="s">
        <v>244</v>
      </c>
      <c r="W12" s="304" t="s">
        <v>244</v>
      </c>
      <c r="X12" s="304" t="s">
        <v>244</v>
      </c>
      <c r="Y12" s="304" t="s">
        <v>244</v>
      </c>
      <c r="Z12" s="304" t="s">
        <v>244</v>
      </c>
      <c r="AA12" s="304" t="s">
        <v>244</v>
      </c>
      <c r="AB12" s="304" t="s">
        <v>244</v>
      </c>
      <c r="AC12" s="304" t="s">
        <v>244</v>
      </c>
      <c r="AD12" s="304" t="s">
        <v>244</v>
      </c>
    </row>
    <row r="13" spans="1:30" s="307" customFormat="1" ht="30">
      <c r="A13" s="501"/>
      <c r="B13" s="495"/>
      <c r="C13" s="496"/>
      <c r="D13" s="496"/>
      <c r="E13" s="303" t="s">
        <v>508</v>
      </c>
      <c r="F13" s="304" t="s">
        <v>244</v>
      </c>
      <c r="G13" s="304" t="s">
        <v>244</v>
      </c>
      <c r="H13" s="304" t="s">
        <v>244</v>
      </c>
      <c r="I13" s="304" t="s">
        <v>244</v>
      </c>
      <c r="J13" s="304" t="s">
        <v>244</v>
      </c>
      <c r="K13" s="304" t="s">
        <v>244</v>
      </c>
      <c r="L13" s="304" t="s">
        <v>244</v>
      </c>
      <c r="M13" s="304" t="s">
        <v>244</v>
      </c>
      <c r="N13" s="304" t="s">
        <v>244</v>
      </c>
      <c r="O13" s="304" t="s">
        <v>244</v>
      </c>
      <c r="P13" s="304" t="s">
        <v>244</v>
      </c>
      <c r="Q13" s="304" t="s">
        <v>244</v>
      </c>
      <c r="R13" s="304" t="s">
        <v>244</v>
      </c>
      <c r="S13" s="304" t="s">
        <v>244</v>
      </c>
      <c r="T13" s="304" t="s">
        <v>244</v>
      </c>
      <c r="U13" s="304" t="s">
        <v>244</v>
      </c>
      <c r="V13" s="304" t="s">
        <v>244</v>
      </c>
      <c r="W13" s="304" t="s">
        <v>244</v>
      </c>
      <c r="X13" s="304" t="s">
        <v>244</v>
      </c>
      <c r="Y13" s="304" t="s">
        <v>244</v>
      </c>
      <c r="Z13" s="304" t="s">
        <v>244</v>
      </c>
      <c r="AA13" s="304" t="s">
        <v>244</v>
      </c>
      <c r="AB13" s="304" t="s">
        <v>244</v>
      </c>
      <c r="AC13" s="304" t="s">
        <v>244</v>
      </c>
      <c r="AD13" s="304" t="s">
        <v>244</v>
      </c>
    </row>
    <row r="14" spans="1:30" s="307" customFormat="1" ht="30">
      <c r="A14" s="501"/>
      <c r="B14" s="495"/>
      <c r="C14" s="496"/>
      <c r="D14" s="496"/>
      <c r="E14" s="303" t="s">
        <v>509</v>
      </c>
      <c r="F14" s="304" t="s">
        <v>244</v>
      </c>
      <c r="G14" s="304" t="s">
        <v>244</v>
      </c>
      <c r="H14" s="304" t="s">
        <v>244</v>
      </c>
      <c r="I14" s="304" t="s">
        <v>244</v>
      </c>
      <c r="J14" s="304" t="s">
        <v>244</v>
      </c>
      <c r="K14" s="304" t="s">
        <v>244</v>
      </c>
      <c r="L14" s="304" t="s">
        <v>244</v>
      </c>
      <c r="M14" s="304" t="s">
        <v>244</v>
      </c>
      <c r="N14" s="304" t="s">
        <v>244</v>
      </c>
      <c r="O14" s="304" t="s">
        <v>244</v>
      </c>
      <c r="P14" s="304" t="s">
        <v>244</v>
      </c>
      <c r="Q14" s="304" t="s">
        <v>244</v>
      </c>
      <c r="R14" s="304" t="s">
        <v>244</v>
      </c>
      <c r="S14" s="304" t="s">
        <v>244</v>
      </c>
      <c r="T14" s="304" t="s">
        <v>244</v>
      </c>
      <c r="U14" s="304" t="s">
        <v>244</v>
      </c>
      <c r="V14" s="304" t="s">
        <v>244</v>
      </c>
      <c r="W14" s="304" t="s">
        <v>244</v>
      </c>
      <c r="X14" s="304" t="s">
        <v>244</v>
      </c>
      <c r="Y14" s="304" t="s">
        <v>244</v>
      </c>
      <c r="Z14" s="304" t="s">
        <v>244</v>
      </c>
      <c r="AA14" s="304" t="s">
        <v>244</v>
      </c>
      <c r="AB14" s="304" t="s">
        <v>244</v>
      </c>
      <c r="AC14" s="304" t="s">
        <v>244</v>
      </c>
      <c r="AD14" s="304" t="s">
        <v>244</v>
      </c>
    </row>
    <row r="15" spans="1:30" s="307" customFormat="1">
      <c r="A15" s="501"/>
      <c r="B15" s="495"/>
      <c r="C15" s="496"/>
      <c r="D15" s="496" t="s">
        <v>510</v>
      </c>
      <c r="E15" s="496"/>
      <c r="F15" s="304" t="s">
        <v>244</v>
      </c>
      <c r="G15" s="304" t="s">
        <v>244</v>
      </c>
      <c r="H15" s="304" t="s">
        <v>244</v>
      </c>
      <c r="I15" s="304" t="s">
        <v>244</v>
      </c>
      <c r="J15" s="304" t="s">
        <v>244</v>
      </c>
      <c r="K15" s="304" t="s">
        <v>244</v>
      </c>
      <c r="L15" s="304" t="s">
        <v>244</v>
      </c>
      <c r="M15" s="304" t="s">
        <v>244</v>
      </c>
      <c r="N15" s="304" t="s">
        <v>244</v>
      </c>
      <c r="O15" s="304" t="s">
        <v>244</v>
      </c>
      <c r="P15" s="304" t="s">
        <v>244</v>
      </c>
      <c r="Q15" s="304" t="s">
        <v>244</v>
      </c>
      <c r="R15" s="304" t="s">
        <v>244</v>
      </c>
      <c r="S15" s="304" t="s">
        <v>244</v>
      </c>
      <c r="T15" s="304" t="s">
        <v>244</v>
      </c>
      <c r="U15" s="304" t="s">
        <v>244</v>
      </c>
      <c r="V15" s="304" t="s">
        <v>244</v>
      </c>
      <c r="W15" s="304" t="s">
        <v>244</v>
      </c>
      <c r="X15" s="304" t="s">
        <v>244</v>
      </c>
      <c r="Y15" s="304" t="s">
        <v>244</v>
      </c>
      <c r="Z15" s="304" t="s">
        <v>244</v>
      </c>
      <c r="AA15" s="304" t="s">
        <v>244</v>
      </c>
      <c r="AB15" s="304" t="s">
        <v>244</v>
      </c>
      <c r="AC15" s="304" t="s">
        <v>244</v>
      </c>
      <c r="AD15" s="304" t="s">
        <v>244</v>
      </c>
    </row>
    <row r="16" spans="1:30" s="307" customFormat="1" ht="33" customHeight="1">
      <c r="A16" s="501"/>
      <c r="B16" s="495"/>
      <c r="C16" s="496" t="s">
        <v>511</v>
      </c>
      <c r="D16" s="496" t="s">
        <v>512</v>
      </c>
      <c r="E16" s="496"/>
      <c r="F16" s="304" t="s">
        <v>244</v>
      </c>
      <c r="G16" s="304" t="s">
        <v>244</v>
      </c>
      <c r="H16" s="304" t="s">
        <v>244</v>
      </c>
      <c r="I16" s="304" t="s">
        <v>244</v>
      </c>
      <c r="J16" s="304" t="s">
        <v>244</v>
      </c>
      <c r="K16" s="304" t="s">
        <v>244</v>
      </c>
      <c r="L16" s="304" t="s">
        <v>244</v>
      </c>
      <c r="M16" s="304" t="s">
        <v>244</v>
      </c>
      <c r="N16" s="304" t="s">
        <v>244</v>
      </c>
      <c r="O16" s="304" t="s">
        <v>244</v>
      </c>
      <c r="P16" s="304" t="s">
        <v>244</v>
      </c>
      <c r="Q16" s="304" t="s">
        <v>244</v>
      </c>
      <c r="R16" s="304" t="s">
        <v>244</v>
      </c>
      <c r="S16" s="304" t="s">
        <v>244</v>
      </c>
      <c r="T16" s="304" t="s">
        <v>244</v>
      </c>
      <c r="U16" s="304" t="s">
        <v>244</v>
      </c>
      <c r="V16" s="304" t="s">
        <v>244</v>
      </c>
      <c r="W16" s="304" t="s">
        <v>244</v>
      </c>
      <c r="X16" s="304" t="s">
        <v>244</v>
      </c>
      <c r="Y16" s="304" t="s">
        <v>244</v>
      </c>
      <c r="Z16" s="304" t="s">
        <v>244</v>
      </c>
      <c r="AA16" s="304" t="s">
        <v>244</v>
      </c>
      <c r="AB16" s="304" t="s">
        <v>244</v>
      </c>
      <c r="AC16" s="304" t="s">
        <v>244</v>
      </c>
      <c r="AD16" s="304" t="s">
        <v>244</v>
      </c>
    </row>
    <row r="17" spans="1:30" s="307" customFormat="1" ht="31.5" customHeight="1">
      <c r="A17" s="501"/>
      <c r="B17" s="495"/>
      <c r="C17" s="496"/>
      <c r="D17" s="496" t="s">
        <v>513</v>
      </c>
      <c r="E17" s="496"/>
      <c r="F17" s="304" t="s">
        <v>244</v>
      </c>
      <c r="G17" s="304" t="s">
        <v>244</v>
      </c>
      <c r="H17" s="304" t="s">
        <v>244</v>
      </c>
      <c r="I17" s="304" t="s">
        <v>244</v>
      </c>
      <c r="J17" s="304" t="s">
        <v>244</v>
      </c>
      <c r="K17" s="304" t="s">
        <v>244</v>
      </c>
      <c r="L17" s="304" t="s">
        <v>244</v>
      </c>
      <c r="M17" s="304" t="s">
        <v>244</v>
      </c>
      <c r="N17" s="304" t="s">
        <v>244</v>
      </c>
      <c r="O17" s="304" t="s">
        <v>244</v>
      </c>
      <c r="P17" s="304" t="s">
        <v>244</v>
      </c>
      <c r="Q17" s="304" t="s">
        <v>244</v>
      </c>
      <c r="R17" s="304" t="s">
        <v>244</v>
      </c>
      <c r="S17" s="304" t="s">
        <v>244</v>
      </c>
      <c r="T17" s="304" t="s">
        <v>244</v>
      </c>
      <c r="U17" s="304" t="s">
        <v>244</v>
      </c>
      <c r="V17" s="304" t="s">
        <v>244</v>
      </c>
      <c r="W17" s="304" t="s">
        <v>244</v>
      </c>
      <c r="X17" s="304" t="s">
        <v>244</v>
      </c>
      <c r="Y17" s="304" t="s">
        <v>244</v>
      </c>
      <c r="Z17" s="304" t="s">
        <v>244</v>
      </c>
      <c r="AA17" s="304" t="s">
        <v>244</v>
      </c>
      <c r="AB17" s="304" t="s">
        <v>244</v>
      </c>
      <c r="AC17" s="304" t="s">
        <v>244</v>
      </c>
      <c r="AD17" s="304" t="s">
        <v>244</v>
      </c>
    </row>
    <row r="18" spans="1:30" s="307" customFormat="1" ht="45">
      <c r="A18" s="501"/>
      <c r="B18" s="495"/>
      <c r="C18" s="308" t="s">
        <v>514</v>
      </c>
      <c r="D18" s="498" t="s">
        <v>515</v>
      </c>
      <c r="E18" s="499"/>
      <c r="F18" s="304" t="s">
        <v>244</v>
      </c>
      <c r="G18" s="304" t="s">
        <v>244</v>
      </c>
      <c r="H18" s="304" t="s">
        <v>244</v>
      </c>
      <c r="I18" s="304" t="s">
        <v>244</v>
      </c>
      <c r="J18" s="304" t="s">
        <v>244</v>
      </c>
      <c r="K18" s="304" t="s">
        <v>244</v>
      </c>
      <c r="L18" s="304" t="s">
        <v>244</v>
      </c>
      <c r="M18" s="304" t="s">
        <v>244</v>
      </c>
      <c r="N18" s="304" t="s">
        <v>244</v>
      </c>
      <c r="O18" s="304" t="s">
        <v>244</v>
      </c>
      <c r="P18" s="304" t="s">
        <v>244</v>
      </c>
      <c r="Q18" s="304" t="s">
        <v>244</v>
      </c>
      <c r="R18" s="304" t="s">
        <v>244</v>
      </c>
      <c r="S18" s="304" t="s">
        <v>244</v>
      </c>
      <c r="T18" s="304" t="s">
        <v>244</v>
      </c>
      <c r="U18" s="304" t="s">
        <v>244</v>
      </c>
      <c r="V18" s="304" t="s">
        <v>244</v>
      </c>
      <c r="W18" s="304" t="s">
        <v>244</v>
      </c>
      <c r="X18" s="304" t="s">
        <v>244</v>
      </c>
      <c r="Y18" s="304" t="s">
        <v>244</v>
      </c>
      <c r="Z18" s="304" t="s">
        <v>244</v>
      </c>
      <c r="AA18" s="304" t="s">
        <v>244</v>
      </c>
      <c r="AB18" s="304" t="s">
        <v>244</v>
      </c>
      <c r="AC18" s="304" t="s">
        <v>244</v>
      </c>
      <c r="AD18" s="304" t="s">
        <v>244</v>
      </c>
    </row>
    <row r="19" spans="1:30" s="307" customFormat="1" ht="15" customHeight="1">
      <c r="A19" s="501"/>
      <c r="B19" s="495" t="s">
        <v>517</v>
      </c>
      <c r="C19" s="496" t="s">
        <v>506</v>
      </c>
      <c r="D19" s="496" t="s">
        <v>507</v>
      </c>
      <c r="E19" s="303" t="s">
        <v>500</v>
      </c>
      <c r="F19" s="304" t="s">
        <v>244</v>
      </c>
      <c r="G19" s="304" t="s">
        <v>244</v>
      </c>
      <c r="H19" s="304" t="s">
        <v>244</v>
      </c>
      <c r="I19" s="304" t="s">
        <v>244</v>
      </c>
      <c r="J19" s="304" t="s">
        <v>244</v>
      </c>
      <c r="K19" s="304" t="s">
        <v>244</v>
      </c>
      <c r="L19" s="304" t="s">
        <v>244</v>
      </c>
      <c r="M19" s="304" t="s">
        <v>244</v>
      </c>
      <c r="N19" s="304" t="s">
        <v>244</v>
      </c>
      <c r="O19" s="304" t="s">
        <v>244</v>
      </c>
      <c r="P19" s="304" t="s">
        <v>244</v>
      </c>
      <c r="Q19" s="304" t="s">
        <v>244</v>
      </c>
      <c r="R19" s="304" t="s">
        <v>244</v>
      </c>
      <c r="S19" s="304" t="s">
        <v>244</v>
      </c>
      <c r="T19" s="304" t="s">
        <v>244</v>
      </c>
      <c r="U19" s="304" t="s">
        <v>244</v>
      </c>
      <c r="V19" s="304" t="s">
        <v>244</v>
      </c>
      <c r="W19" s="304" t="s">
        <v>244</v>
      </c>
      <c r="X19" s="304" t="s">
        <v>244</v>
      </c>
      <c r="Y19" s="304" t="s">
        <v>244</v>
      </c>
      <c r="Z19" s="304" t="s">
        <v>244</v>
      </c>
      <c r="AA19" s="304" t="s">
        <v>244</v>
      </c>
      <c r="AB19" s="304" t="s">
        <v>244</v>
      </c>
      <c r="AC19" s="304" t="s">
        <v>244</v>
      </c>
      <c r="AD19" s="304" t="s">
        <v>244</v>
      </c>
    </row>
    <row r="20" spans="1:30" s="307" customFormat="1" ht="30">
      <c r="A20" s="501"/>
      <c r="B20" s="495"/>
      <c r="C20" s="496"/>
      <c r="D20" s="496"/>
      <c r="E20" s="303" t="s">
        <v>508</v>
      </c>
      <c r="F20" s="304" t="s">
        <v>244</v>
      </c>
      <c r="G20" s="304" t="s">
        <v>244</v>
      </c>
      <c r="H20" s="304" t="s">
        <v>244</v>
      </c>
      <c r="I20" s="304" t="s">
        <v>244</v>
      </c>
      <c r="J20" s="304" t="s">
        <v>244</v>
      </c>
      <c r="K20" s="304" t="s">
        <v>244</v>
      </c>
      <c r="L20" s="304" t="s">
        <v>244</v>
      </c>
      <c r="M20" s="304" t="s">
        <v>244</v>
      </c>
      <c r="N20" s="304" t="s">
        <v>244</v>
      </c>
      <c r="O20" s="304" t="s">
        <v>244</v>
      </c>
      <c r="P20" s="304" t="s">
        <v>244</v>
      </c>
      <c r="Q20" s="304" t="s">
        <v>244</v>
      </c>
      <c r="R20" s="304" t="s">
        <v>244</v>
      </c>
      <c r="S20" s="304" t="s">
        <v>244</v>
      </c>
      <c r="T20" s="304" t="s">
        <v>244</v>
      </c>
      <c r="U20" s="304" t="s">
        <v>244</v>
      </c>
      <c r="V20" s="304" t="s">
        <v>244</v>
      </c>
      <c r="W20" s="304" t="s">
        <v>244</v>
      </c>
      <c r="X20" s="304" t="s">
        <v>244</v>
      </c>
      <c r="Y20" s="304" t="s">
        <v>244</v>
      </c>
      <c r="Z20" s="304" t="s">
        <v>244</v>
      </c>
      <c r="AA20" s="304" t="s">
        <v>244</v>
      </c>
      <c r="AB20" s="304" t="s">
        <v>244</v>
      </c>
      <c r="AC20" s="304" t="s">
        <v>244</v>
      </c>
      <c r="AD20" s="304" t="s">
        <v>244</v>
      </c>
    </row>
    <row r="21" spans="1:30" s="307" customFormat="1" ht="30">
      <c r="A21" s="501"/>
      <c r="B21" s="495"/>
      <c r="C21" s="496"/>
      <c r="D21" s="496"/>
      <c r="E21" s="303" t="s">
        <v>509</v>
      </c>
      <c r="F21" s="304" t="s">
        <v>244</v>
      </c>
      <c r="G21" s="304" t="s">
        <v>244</v>
      </c>
      <c r="H21" s="304" t="s">
        <v>244</v>
      </c>
      <c r="I21" s="304" t="s">
        <v>244</v>
      </c>
      <c r="J21" s="304" t="s">
        <v>244</v>
      </c>
      <c r="K21" s="304" t="s">
        <v>244</v>
      </c>
      <c r="L21" s="304" t="s">
        <v>244</v>
      </c>
      <c r="M21" s="304" t="s">
        <v>244</v>
      </c>
      <c r="N21" s="304" t="s">
        <v>244</v>
      </c>
      <c r="O21" s="304" t="s">
        <v>244</v>
      </c>
      <c r="P21" s="304" t="s">
        <v>244</v>
      </c>
      <c r="Q21" s="304" t="s">
        <v>244</v>
      </c>
      <c r="R21" s="304" t="s">
        <v>244</v>
      </c>
      <c r="S21" s="304" t="s">
        <v>244</v>
      </c>
      <c r="T21" s="304" t="s">
        <v>244</v>
      </c>
      <c r="U21" s="304" t="s">
        <v>244</v>
      </c>
      <c r="V21" s="304" t="s">
        <v>244</v>
      </c>
      <c r="W21" s="304" t="s">
        <v>244</v>
      </c>
      <c r="X21" s="304" t="s">
        <v>244</v>
      </c>
      <c r="Y21" s="304" t="s">
        <v>244</v>
      </c>
      <c r="Z21" s="304" t="s">
        <v>244</v>
      </c>
      <c r="AA21" s="304" t="s">
        <v>244</v>
      </c>
      <c r="AB21" s="304" t="s">
        <v>244</v>
      </c>
      <c r="AC21" s="304" t="s">
        <v>244</v>
      </c>
      <c r="AD21" s="304" t="s">
        <v>244</v>
      </c>
    </row>
    <row r="22" spans="1:30" s="307" customFormat="1">
      <c r="A22" s="501"/>
      <c r="B22" s="495"/>
      <c r="C22" s="496"/>
      <c r="D22" s="496" t="s">
        <v>510</v>
      </c>
      <c r="E22" s="496"/>
      <c r="F22" s="304" t="s">
        <v>244</v>
      </c>
      <c r="G22" s="304" t="s">
        <v>244</v>
      </c>
      <c r="H22" s="304" t="s">
        <v>244</v>
      </c>
      <c r="I22" s="304" t="s">
        <v>244</v>
      </c>
      <c r="J22" s="304" t="s">
        <v>244</v>
      </c>
      <c r="K22" s="304" t="s">
        <v>244</v>
      </c>
      <c r="L22" s="304" t="s">
        <v>244</v>
      </c>
      <c r="M22" s="304" t="s">
        <v>244</v>
      </c>
      <c r="N22" s="304" t="s">
        <v>244</v>
      </c>
      <c r="O22" s="304" t="s">
        <v>244</v>
      </c>
      <c r="P22" s="304" t="s">
        <v>244</v>
      </c>
      <c r="Q22" s="304" t="s">
        <v>244</v>
      </c>
      <c r="R22" s="304" t="s">
        <v>244</v>
      </c>
      <c r="S22" s="304" t="s">
        <v>244</v>
      </c>
      <c r="T22" s="304" t="s">
        <v>244</v>
      </c>
      <c r="U22" s="304" t="s">
        <v>244</v>
      </c>
      <c r="V22" s="304" t="s">
        <v>244</v>
      </c>
      <c r="W22" s="304" t="s">
        <v>244</v>
      </c>
      <c r="X22" s="304" t="s">
        <v>244</v>
      </c>
      <c r="Y22" s="304" t="s">
        <v>244</v>
      </c>
      <c r="Z22" s="304" t="s">
        <v>244</v>
      </c>
      <c r="AA22" s="304" t="s">
        <v>244</v>
      </c>
      <c r="AB22" s="304" t="s">
        <v>244</v>
      </c>
      <c r="AC22" s="304" t="s">
        <v>244</v>
      </c>
      <c r="AD22" s="304" t="s">
        <v>244</v>
      </c>
    </row>
    <row r="23" spans="1:30" s="307" customFormat="1" ht="29.25" customHeight="1">
      <c r="A23" s="501"/>
      <c r="B23" s="495"/>
      <c r="C23" s="496" t="s">
        <v>511</v>
      </c>
      <c r="D23" s="496" t="s">
        <v>512</v>
      </c>
      <c r="E23" s="496"/>
      <c r="F23" s="304" t="s">
        <v>244</v>
      </c>
      <c r="G23" s="304" t="s">
        <v>244</v>
      </c>
      <c r="H23" s="304" t="s">
        <v>244</v>
      </c>
      <c r="I23" s="304" t="s">
        <v>244</v>
      </c>
      <c r="J23" s="304" t="s">
        <v>244</v>
      </c>
      <c r="K23" s="304" t="s">
        <v>244</v>
      </c>
      <c r="L23" s="304" t="s">
        <v>244</v>
      </c>
      <c r="M23" s="304" t="s">
        <v>244</v>
      </c>
      <c r="N23" s="304" t="s">
        <v>244</v>
      </c>
      <c r="O23" s="304" t="s">
        <v>244</v>
      </c>
      <c r="P23" s="304" t="s">
        <v>244</v>
      </c>
      <c r="Q23" s="304" t="s">
        <v>244</v>
      </c>
      <c r="R23" s="304" t="s">
        <v>244</v>
      </c>
      <c r="S23" s="304" t="s">
        <v>244</v>
      </c>
      <c r="T23" s="304" t="s">
        <v>244</v>
      </c>
      <c r="U23" s="304" t="s">
        <v>244</v>
      </c>
      <c r="V23" s="304" t="s">
        <v>244</v>
      </c>
      <c r="W23" s="304" t="s">
        <v>244</v>
      </c>
      <c r="X23" s="304" t="s">
        <v>244</v>
      </c>
      <c r="Y23" s="304" t="s">
        <v>244</v>
      </c>
      <c r="Z23" s="304" t="s">
        <v>244</v>
      </c>
      <c r="AA23" s="304" t="s">
        <v>244</v>
      </c>
      <c r="AB23" s="304" t="s">
        <v>244</v>
      </c>
      <c r="AC23" s="304" t="s">
        <v>244</v>
      </c>
      <c r="AD23" s="304" t="s">
        <v>244</v>
      </c>
    </row>
    <row r="24" spans="1:30" s="307" customFormat="1" ht="29.25" customHeight="1">
      <c r="A24" s="501"/>
      <c r="B24" s="495"/>
      <c r="C24" s="496"/>
      <c r="D24" s="496" t="s">
        <v>513</v>
      </c>
      <c r="E24" s="496"/>
      <c r="F24" s="304" t="s">
        <v>244</v>
      </c>
      <c r="G24" s="304" t="s">
        <v>244</v>
      </c>
      <c r="H24" s="304" t="s">
        <v>244</v>
      </c>
      <c r="I24" s="304" t="s">
        <v>244</v>
      </c>
      <c r="J24" s="304" t="s">
        <v>244</v>
      </c>
      <c r="K24" s="304" t="s">
        <v>244</v>
      </c>
      <c r="L24" s="304" t="s">
        <v>244</v>
      </c>
      <c r="M24" s="304" t="s">
        <v>244</v>
      </c>
      <c r="N24" s="304" t="s">
        <v>244</v>
      </c>
      <c r="O24" s="304" t="s">
        <v>244</v>
      </c>
      <c r="P24" s="304" t="s">
        <v>244</v>
      </c>
      <c r="Q24" s="304" t="s">
        <v>244</v>
      </c>
      <c r="R24" s="304" t="s">
        <v>244</v>
      </c>
      <c r="S24" s="304" t="s">
        <v>244</v>
      </c>
      <c r="T24" s="304" t="s">
        <v>244</v>
      </c>
      <c r="U24" s="304" t="s">
        <v>244</v>
      </c>
      <c r="V24" s="304" t="s">
        <v>244</v>
      </c>
      <c r="W24" s="304" t="s">
        <v>244</v>
      </c>
      <c r="X24" s="304" t="s">
        <v>244</v>
      </c>
      <c r="Y24" s="304" t="s">
        <v>244</v>
      </c>
      <c r="Z24" s="304" t="s">
        <v>244</v>
      </c>
      <c r="AA24" s="304" t="s">
        <v>244</v>
      </c>
      <c r="AB24" s="304" t="s">
        <v>244</v>
      </c>
      <c r="AC24" s="304" t="s">
        <v>244</v>
      </c>
      <c r="AD24" s="304" t="s">
        <v>244</v>
      </c>
    </row>
    <row r="25" spans="1:30" s="307" customFormat="1" ht="45" customHeight="1">
      <c r="A25" s="501"/>
      <c r="B25" s="495"/>
      <c r="C25" s="308" t="s">
        <v>514</v>
      </c>
      <c r="D25" s="496" t="s">
        <v>515</v>
      </c>
      <c r="E25" s="496"/>
      <c r="F25" s="304" t="s">
        <v>244</v>
      </c>
      <c r="G25" s="304" t="s">
        <v>244</v>
      </c>
      <c r="H25" s="304" t="s">
        <v>244</v>
      </c>
      <c r="I25" s="304" t="s">
        <v>244</v>
      </c>
      <c r="J25" s="304" t="s">
        <v>244</v>
      </c>
      <c r="K25" s="304" t="s">
        <v>244</v>
      </c>
      <c r="L25" s="304" t="s">
        <v>244</v>
      </c>
      <c r="M25" s="304" t="s">
        <v>244</v>
      </c>
      <c r="N25" s="304" t="s">
        <v>244</v>
      </c>
      <c r="O25" s="304" t="s">
        <v>244</v>
      </c>
      <c r="P25" s="304" t="s">
        <v>244</v>
      </c>
      <c r="Q25" s="304" t="s">
        <v>244</v>
      </c>
      <c r="R25" s="304" t="s">
        <v>244</v>
      </c>
      <c r="S25" s="304" t="s">
        <v>244</v>
      </c>
      <c r="T25" s="304" t="s">
        <v>244</v>
      </c>
      <c r="U25" s="304" t="s">
        <v>244</v>
      </c>
      <c r="V25" s="304" t="s">
        <v>244</v>
      </c>
      <c r="W25" s="304" t="s">
        <v>244</v>
      </c>
      <c r="X25" s="304" t="s">
        <v>244</v>
      </c>
      <c r="Y25" s="304" t="s">
        <v>244</v>
      </c>
      <c r="Z25" s="304" t="s">
        <v>244</v>
      </c>
      <c r="AA25" s="304" t="s">
        <v>244</v>
      </c>
      <c r="AB25" s="304" t="s">
        <v>244</v>
      </c>
      <c r="AC25" s="304" t="s">
        <v>244</v>
      </c>
      <c r="AD25" s="304" t="s">
        <v>244</v>
      </c>
    </row>
    <row r="26" spans="1:30" s="307" customFormat="1" ht="15" customHeight="1">
      <c r="A26" s="501"/>
      <c r="B26" s="495" t="s">
        <v>518</v>
      </c>
      <c r="C26" s="496" t="s">
        <v>506</v>
      </c>
      <c r="D26" s="496" t="s">
        <v>507</v>
      </c>
      <c r="E26" s="303" t="s">
        <v>500</v>
      </c>
      <c r="F26" s="304" t="s">
        <v>244</v>
      </c>
      <c r="G26" s="304" t="s">
        <v>244</v>
      </c>
      <c r="H26" s="304" t="s">
        <v>244</v>
      </c>
      <c r="I26" s="304" t="s">
        <v>244</v>
      </c>
      <c r="J26" s="304" t="s">
        <v>244</v>
      </c>
      <c r="K26" s="304" t="s">
        <v>244</v>
      </c>
      <c r="L26" s="304" t="s">
        <v>244</v>
      </c>
      <c r="M26" s="304" t="s">
        <v>244</v>
      </c>
      <c r="N26" s="304" t="s">
        <v>244</v>
      </c>
      <c r="O26" s="304" t="s">
        <v>244</v>
      </c>
      <c r="P26" s="304" t="s">
        <v>244</v>
      </c>
      <c r="Q26" s="304" t="s">
        <v>244</v>
      </c>
      <c r="R26" s="304" t="s">
        <v>244</v>
      </c>
      <c r="S26" s="304" t="s">
        <v>244</v>
      </c>
      <c r="T26" s="304" t="s">
        <v>244</v>
      </c>
      <c r="U26" s="304" t="s">
        <v>244</v>
      </c>
      <c r="V26" s="304" t="s">
        <v>244</v>
      </c>
      <c r="W26" s="304" t="s">
        <v>244</v>
      </c>
      <c r="X26" s="304" t="s">
        <v>244</v>
      </c>
      <c r="Y26" s="304" t="s">
        <v>244</v>
      </c>
      <c r="Z26" s="304" t="s">
        <v>244</v>
      </c>
      <c r="AA26" s="304" t="s">
        <v>244</v>
      </c>
      <c r="AB26" s="304" t="s">
        <v>244</v>
      </c>
      <c r="AC26" s="304" t="s">
        <v>244</v>
      </c>
      <c r="AD26" s="304" t="s">
        <v>244</v>
      </c>
    </row>
    <row r="27" spans="1:30" s="307" customFormat="1" ht="30">
      <c r="A27" s="501"/>
      <c r="B27" s="495"/>
      <c r="C27" s="496"/>
      <c r="D27" s="496"/>
      <c r="E27" s="303" t="s">
        <v>508</v>
      </c>
      <c r="F27" s="304" t="s">
        <v>244</v>
      </c>
      <c r="G27" s="304" t="s">
        <v>244</v>
      </c>
      <c r="H27" s="304" t="s">
        <v>244</v>
      </c>
      <c r="I27" s="304" t="s">
        <v>244</v>
      </c>
      <c r="J27" s="304" t="s">
        <v>244</v>
      </c>
      <c r="K27" s="304" t="s">
        <v>244</v>
      </c>
      <c r="L27" s="304" t="s">
        <v>244</v>
      </c>
      <c r="M27" s="304" t="s">
        <v>244</v>
      </c>
      <c r="N27" s="304" t="s">
        <v>244</v>
      </c>
      <c r="O27" s="304" t="s">
        <v>244</v>
      </c>
      <c r="P27" s="304" t="s">
        <v>244</v>
      </c>
      <c r="Q27" s="304" t="s">
        <v>244</v>
      </c>
      <c r="R27" s="304" t="s">
        <v>244</v>
      </c>
      <c r="S27" s="304" t="s">
        <v>244</v>
      </c>
      <c r="T27" s="304" t="s">
        <v>244</v>
      </c>
      <c r="U27" s="304" t="s">
        <v>244</v>
      </c>
      <c r="V27" s="304" t="s">
        <v>244</v>
      </c>
      <c r="W27" s="304" t="s">
        <v>244</v>
      </c>
      <c r="X27" s="304" t="s">
        <v>244</v>
      </c>
      <c r="Y27" s="304" t="s">
        <v>244</v>
      </c>
      <c r="Z27" s="304" t="s">
        <v>244</v>
      </c>
      <c r="AA27" s="304" t="s">
        <v>244</v>
      </c>
      <c r="AB27" s="304" t="s">
        <v>244</v>
      </c>
      <c r="AC27" s="304" t="s">
        <v>244</v>
      </c>
      <c r="AD27" s="304" t="s">
        <v>244</v>
      </c>
    </row>
    <row r="28" spans="1:30" s="307" customFormat="1" ht="30">
      <c r="A28" s="501"/>
      <c r="B28" s="495"/>
      <c r="C28" s="496"/>
      <c r="D28" s="496"/>
      <c r="E28" s="303" t="s">
        <v>509</v>
      </c>
      <c r="F28" s="304" t="s">
        <v>244</v>
      </c>
      <c r="G28" s="304" t="s">
        <v>244</v>
      </c>
      <c r="H28" s="304" t="s">
        <v>244</v>
      </c>
      <c r="I28" s="304" t="s">
        <v>244</v>
      </c>
      <c r="J28" s="304" t="s">
        <v>244</v>
      </c>
      <c r="K28" s="304" t="s">
        <v>244</v>
      </c>
      <c r="L28" s="304" t="s">
        <v>244</v>
      </c>
      <c r="M28" s="304" t="s">
        <v>244</v>
      </c>
      <c r="N28" s="304" t="s">
        <v>244</v>
      </c>
      <c r="O28" s="304" t="s">
        <v>244</v>
      </c>
      <c r="P28" s="304" t="s">
        <v>244</v>
      </c>
      <c r="Q28" s="304" t="s">
        <v>244</v>
      </c>
      <c r="R28" s="304" t="s">
        <v>244</v>
      </c>
      <c r="S28" s="304" t="s">
        <v>244</v>
      </c>
      <c r="T28" s="304" t="s">
        <v>244</v>
      </c>
      <c r="U28" s="304" t="s">
        <v>244</v>
      </c>
      <c r="V28" s="304" t="s">
        <v>244</v>
      </c>
      <c r="W28" s="304" t="s">
        <v>244</v>
      </c>
      <c r="X28" s="304" t="s">
        <v>244</v>
      </c>
      <c r="Y28" s="304" t="s">
        <v>244</v>
      </c>
      <c r="Z28" s="304" t="s">
        <v>244</v>
      </c>
      <c r="AA28" s="304" t="s">
        <v>244</v>
      </c>
      <c r="AB28" s="304" t="s">
        <v>244</v>
      </c>
      <c r="AC28" s="304" t="s">
        <v>244</v>
      </c>
      <c r="AD28" s="304" t="s">
        <v>244</v>
      </c>
    </row>
    <row r="29" spans="1:30" s="307" customFormat="1">
      <c r="A29" s="501"/>
      <c r="B29" s="495"/>
      <c r="C29" s="496"/>
      <c r="D29" s="496" t="s">
        <v>510</v>
      </c>
      <c r="E29" s="496"/>
      <c r="F29" s="304" t="s">
        <v>244</v>
      </c>
      <c r="G29" s="304" t="s">
        <v>244</v>
      </c>
      <c r="H29" s="304" t="s">
        <v>244</v>
      </c>
      <c r="I29" s="304" t="s">
        <v>244</v>
      </c>
      <c r="J29" s="304" t="s">
        <v>244</v>
      </c>
      <c r="K29" s="304" t="s">
        <v>244</v>
      </c>
      <c r="L29" s="304" t="s">
        <v>244</v>
      </c>
      <c r="M29" s="304" t="s">
        <v>244</v>
      </c>
      <c r="N29" s="304" t="s">
        <v>244</v>
      </c>
      <c r="O29" s="304" t="s">
        <v>244</v>
      </c>
      <c r="P29" s="304" t="s">
        <v>244</v>
      </c>
      <c r="Q29" s="304" t="s">
        <v>244</v>
      </c>
      <c r="R29" s="304" t="s">
        <v>244</v>
      </c>
      <c r="S29" s="304" t="s">
        <v>244</v>
      </c>
      <c r="T29" s="304" t="s">
        <v>244</v>
      </c>
      <c r="U29" s="304" t="s">
        <v>244</v>
      </c>
      <c r="V29" s="304" t="s">
        <v>244</v>
      </c>
      <c r="W29" s="304" t="s">
        <v>244</v>
      </c>
      <c r="X29" s="304" t="s">
        <v>244</v>
      </c>
      <c r="Y29" s="304" t="s">
        <v>244</v>
      </c>
      <c r="Z29" s="304" t="s">
        <v>244</v>
      </c>
      <c r="AA29" s="304" t="s">
        <v>244</v>
      </c>
      <c r="AB29" s="304" t="s">
        <v>244</v>
      </c>
      <c r="AC29" s="304" t="s">
        <v>244</v>
      </c>
      <c r="AD29" s="304" t="s">
        <v>244</v>
      </c>
    </row>
    <row r="30" spans="1:30" s="307" customFormat="1" ht="29.25" customHeight="1">
      <c r="A30" s="501"/>
      <c r="B30" s="495"/>
      <c r="C30" s="496" t="s">
        <v>511</v>
      </c>
      <c r="D30" s="496" t="s">
        <v>512</v>
      </c>
      <c r="E30" s="496"/>
      <c r="F30" s="304" t="s">
        <v>244</v>
      </c>
      <c r="G30" s="304" t="s">
        <v>244</v>
      </c>
      <c r="H30" s="304" t="s">
        <v>244</v>
      </c>
      <c r="I30" s="304" t="s">
        <v>244</v>
      </c>
      <c r="J30" s="304" t="s">
        <v>244</v>
      </c>
      <c r="K30" s="304" t="s">
        <v>244</v>
      </c>
      <c r="L30" s="304" t="s">
        <v>244</v>
      </c>
      <c r="M30" s="304" t="s">
        <v>244</v>
      </c>
      <c r="N30" s="304" t="s">
        <v>244</v>
      </c>
      <c r="O30" s="304" t="s">
        <v>244</v>
      </c>
      <c r="P30" s="304" t="s">
        <v>244</v>
      </c>
      <c r="Q30" s="304" t="s">
        <v>244</v>
      </c>
      <c r="R30" s="304" t="s">
        <v>244</v>
      </c>
      <c r="S30" s="304" t="s">
        <v>244</v>
      </c>
      <c r="T30" s="304" t="s">
        <v>244</v>
      </c>
      <c r="U30" s="304" t="s">
        <v>244</v>
      </c>
      <c r="V30" s="304" t="s">
        <v>244</v>
      </c>
      <c r="W30" s="304" t="s">
        <v>244</v>
      </c>
      <c r="X30" s="304" t="s">
        <v>244</v>
      </c>
      <c r="Y30" s="304" t="s">
        <v>244</v>
      </c>
      <c r="Z30" s="304" t="s">
        <v>244</v>
      </c>
      <c r="AA30" s="304" t="s">
        <v>244</v>
      </c>
      <c r="AB30" s="304" t="s">
        <v>244</v>
      </c>
      <c r="AC30" s="304" t="s">
        <v>244</v>
      </c>
      <c r="AD30" s="304" t="s">
        <v>244</v>
      </c>
    </row>
    <row r="31" spans="1:30" s="307" customFormat="1" ht="29.25" customHeight="1">
      <c r="A31" s="501"/>
      <c r="B31" s="495"/>
      <c r="C31" s="496"/>
      <c r="D31" s="496" t="s">
        <v>513</v>
      </c>
      <c r="E31" s="496"/>
      <c r="F31" s="304" t="s">
        <v>244</v>
      </c>
      <c r="G31" s="304" t="s">
        <v>244</v>
      </c>
      <c r="H31" s="304" t="s">
        <v>244</v>
      </c>
      <c r="I31" s="304" t="s">
        <v>244</v>
      </c>
      <c r="J31" s="304" t="s">
        <v>244</v>
      </c>
      <c r="K31" s="304" t="s">
        <v>244</v>
      </c>
      <c r="L31" s="304" t="s">
        <v>244</v>
      </c>
      <c r="M31" s="304" t="s">
        <v>244</v>
      </c>
      <c r="N31" s="304" t="s">
        <v>244</v>
      </c>
      <c r="O31" s="304" t="s">
        <v>244</v>
      </c>
      <c r="P31" s="304" t="s">
        <v>244</v>
      </c>
      <c r="Q31" s="304" t="s">
        <v>244</v>
      </c>
      <c r="R31" s="304" t="s">
        <v>244</v>
      </c>
      <c r="S31" s="304" t="s">
        <v>244</v>
      </c>
      <c r="T31" s="304" t="s">
        <v>244</v>
      </c>
      <c r="U31" s="304" t="s">
        <v>244</v>
      </c>
      <c r="V31" s="304" t="s">
        <v>244</v>
      </c>
      <c r="W31" s="304" t="s">
        <v>244</v>
      </c>
      <c r="X31" s="304" t="s">
        <v>244</v>
      </c>
      <c r="Y31" s="304" t="s">
        <v>244</v>
      </c>
      <c r="Z31" s="304" t="s">
        <v>244</v>
      </c>
      <c r="AA31" s="304" t="s">
        <v>244</v>
      </c>
      <c r="AB31" s="304" t="s">
        <v>244</v>
      </c>
      <c r="AC31" s="304" t="s">
        <v>244</v>
      </c>
      <c r="AD31" s="304" t="s">
        <v>244</v>
      </c>
    </row>
    <row r="32" spans="1:30" s="307" customFormat="1" ht="45" customHeight="1">
      <c r="A32" s="501"/>
      <c r="B32" s="495"/>
      <c r="C32" s="308" t="s">
        <v>514</v>
      </c>
      <c r="D32" s="496" t="s">
        <v>515</v>
      </c>
      <c r="E32" s="496"/>
      <c r="F32" s="304" t="s">
        <v>244</v>
      </c>
      <c r="G32" s="304" t="s">
        <v>244</v>
      </c>
      <c r="H32" s="304" t="s">
        <v>244</v>
      </c>
      <c r="I32" s="304" t="s">
        <v>244</v>
      </c>
      <c r="J32" s="304" t="s">
        <v>244</v>
      </c>
      <c r="K32" s="304" t="s">
        <v>244</v>
      </c>
      <c r="L32" s="304" t="s">
        <v>244</v>
      </c>
      <c r="M32" s="304" t="s">
        <v>244</v>
      </c>
      <c r="N32" s="304" t="s">
        <v>244</v>
      </c>
      <c r="O32" s="304" t="s">
        <v>244</v>
      </c>
      <c r="P32" s="304" t="s">
        <v>244</v>
      </c>
      <c r="Q32" s="304" t="s">
        <v>244</v>
      </c>
      <c r="R32" s="304" t="s">
        <v>244</v>
      </c>
      <c r="S32" s="304" t="s">
        <v>244</v>
      </c>
      <c r="T32" s="304" t="s">
        <v>244</v>
      </c>
      <c r="U32" s="304" t="s">
        <v>244</v>
      </c>
      <c r="V32" s="304" t="s">
        <v>244</v>
      </c>
      <c r="W32" s="304" t="s">
        <v>244</v>
      </c>
      <c r="X32" s="304" t="s">
        <v>244</v>
      </c>
      <c r="Y32" s="304" t="s">
        <v>244</v>
      </c>
      <c r="Z32" s="304" t="s">
        <v>244</v>
      </c>
      <c r="AA32" s="304" t="s">
        <v>244</v>
      </c>
      <c r="AB32" s="304" t="s">
        <v>244</v>
      </c>
      <c r="AC32" s="304" t="s">
        <v>244</v>
      </c>
      <c r="AD32" s="304" t="s">
        <v>244</v>
      </c>
    </row>
    <row r="33" spans="1:30" s="307" customFormat="1" ht="15" customHeight="1">
      <c r="A33" s="501"/>
      <c r="B33" s="495" t="s">
        <v>519</v>
      </c>
      <c r="C33" s="496" t="s">
        <v>506</v>
      </c>
      <c r="D33" s="496" t="s">
        <v>507</v>
      </c>
      <c r="E33" s="303" t="s">
        <v>500</v>
      </c>
      <c r="F33" s="304" t="s">
        <v>244</v>
      </c>
      <c r="G33" s="304" t="s">
        <v>244</v>
      </c>
      <c r="H33" s="304" t="s">
        <v>244</v>
      </c>
      <c r="I33" s="304" t="s">
        <v>244</v>
      </c>
      <c r="J33" s="304" t="s">
        <v>244</v>
      </c>
      <c r="K33" s="304" t="s">
        <v>244</v>
      </c>
      <c r="L33" s="304" t="s">
        <v>244</v>
      </c>
      <c r="M33" s="304" t="s">
        <v>244</v>
      </c>
      <c r="N33" s="304" t="s">
        <v>244</v>
      </c>
      <c r="O33" s="304" t="s">
        <v>244</v>
      </c>
      <c r="P33" s="304" t="s">
        <v>244</v>
      </c>
      <c r="Q33" s="304" t="s">
        <v>244</v>
      </c>
      <c r="R33" s="304" t="s">
        <v>244</v>
      </c>
      <c r="S33" s="304" t="s">
        <v>244</v>
      </c>
      <c r="T33" s="304" t="s">
        <v>244</v>
      </c>
      <c r="U33" s="304" t="s">
        <v>244</v>
      </c>
      <c r="V33" s="304" t="s">
        <v>244</v>
      </c>
      <c r="W33" s="304" t="s">
        <v>244</v>
      </c>
      <c r="X33" s="304" t="s">
        <v>244</v>
      </c>
      <c r="Y33" s="304" t="s">
        <v>244</v>
      </c>
      <c r="Z33" s="304" t="s">
        <v>244</v>
      </c>
      <c r="AA33" s="304" t="s">
        <v>244</v>
      </c>
      <c r="AB33" s="304" t="s">
        <v>244</v>
      </c>
      <c r="AC33" s="304" t="s">
        <v>244</v>
      </c>
      <c r="AD33" s="304" t="s">
        <v>244</v>
      </c>
    </row>
    <row r="34" spans="1:30" s="307" customFormat="1" ht="30">
      <c r="A34" s="501"/>
      <c r="B34" s="495"/>
      <c r="C34" s="496"/>
      <c r="D34" s="496"/>
      <c r="E34" s="303" t="s">
        <v>508</v>
      </c>
      <c r="F34" s="304" t="s">
        <v>244</v>
      </c>
      <c r="G34" s="304" t="s">
        <v>244</v>
      </c>
      <c r="H34" s="304" t="s">
        <v>244</v>
      </c>
      <c r="I34" s="304" t="s">
        <v>244</v>
      </c>
      <c r="J34" s="304" t="s">
        <v>244</v>
      </c>
      <c r="K34" s="304" t="s">
        <v>244</v>
      </c>
      <c r="L34" s="304" t="s">
        <v>244</v>
      </c>
      <c r="M34" s="304" t="s">
        <v>244</v>
      </c>
      <c r="N34" s="304" t="s">
        <v>244</v>
      </c>
      <c r="O34" s="304" t="s">
        <v>244</v>
      </c>
      <c r="P34" s="304" t="s">
        <v>244</v>
      </c>
      <c r="Q34" s="304" t="s">
        <v>244</v>
      </c>
      <c r="R34" s="304" t="s">
        <v>244</v>
      </c>
      <c r="S34" s="304" t="s">
        <v>244</v>
      </c>
      <c r="T34" s="304" t="s">
        <v>244</v>
      </c>
      <c r="U34" s="304" t="s">
        <v>244</v>
      </c>
      <c r="V34" s="304" t="s">
        <v>244</v>
      </c>
      <c r="W34" s="304" t="s">
        <v>244</v>
      </c>
      <c r="X34" s="304" t="s">
        <v>244</v>
      </c>
      <c r="Y34" s="304" t="s">
        <v>244</v>
      </c>
      <c r="Z34" s="304" t="s">
        <v>244</v>
      </c>
      <c r="AA34" s="304" t="s">
        <v>244</v>
      </c>
      <c r="AB34" s="304" t="s">
        <v>244</v>
      </c>
      <c r="AC34" s="304" t="s">
        <v>244</v>
      </c>
      <c r="AD34" s="304" t="s">
        <v>244</v>
      </c>
    </row>
    <row r="35" spans="1:30" s="307" customFormat="1" ht="30">
      <c r="A35" s="501"/>
      <c r="B35" s="495"/>
      <c r="C35" s="496"/>
      <c r="D35" s="496"/>
      <c r="E35" s="303" t="s">
        <v>509</v>
      </c>
      <c r="F35" s="304" t="s">
        <v>244</v>
      </c>
      <c r="G35" s="304" t="s">
        <v>244</v>
      </c>
      <c r="H35" s="304" t="s">
        <v>244</v>
      </c>
      <c r="I35" s="304" t="s">
        <v>244</v>
      </c>
      <c r="J35" s="304" t="s">
        <v>244</v>
      </c>
      <c r="K35" s="304" t="s">
        <v>244</v>
      </c>
      <c r="L35" s="304" t="s">
        <v>244</v>
      </c>
      <c r="M35" s="304" t="s">
        <v>244</v>
      </c>
      <c r="N35" s="304" t="s">
        <v>244</v>
      </c>
      <c r="O35" s="304" t="s">
        <v>244</v>
      </c>
      <c r="P35" s="304" t="s">
        <v>244</v>
      </c>
      <c r="Q35" s="304" t="s">
        <v>244</v>
      </c>
      <c r="R35" s="304" t="s">
        <v>244</v>
      </c>
      <c r="S35" s="304" t="s">
        <v>244</v>
      </c>
      <c r="T35" s="304" t="s">
        <v>244</v>
      </c>
      <c r="U35" s="304" t="s">
        <v>244</v>
      </c>
      <c r="V35" s="304" t="s">
        <v>244</v>
      </c>
      <c r="W35" s="304" t="s">
        <v>244</v>
      </c>
      <c r="X35" s="304" t="s">
        <v>244</v>
      </c>
      <c r="Y35" s="304" t="s">
        <v>244</v>
      </c>
      <c r="Z35" s="304" t="s">
        <v>244</v>
      </c>
      <c r="AA35" s="304" t="s">
        <v>244</v>
      </c>
      <c r="AB35" s="304" t="s">
        <v>244</v>
      </c>
      <c r="AC35" s="304" t="s">
        <v>244</v>
      </c>
      <c r="AD35" s="304" t="s">
        <v>244</v>
      </c>
    </row>
    <row r="36" spans="1:30" s="307" customFormat="1">
      <c r="A36" s="501"/>
      <c r="B36" s="495"/>
      <c r="C36" s="496"/>
      <c r="D36" s="496" t="s">
        <v>510</v>
      </c>
      <c r="E36" s="496"/>
      <c r="F36" s="304" t="s">
        <v>244</v>
      </c>
      <c r="G36" s="304" t="s">
        <v>244</v>
      </c>
      <c r="H36" s="304" t="s">
        <v>244</v>
      </c>
      <c r="I36" s="304" t="s">
        <v>244</v>
      </c>
      <c r="J36" s="304" t="s">
        <v>244</v>
      </c>
      <c r="K36" s="304" t="s">
        <v>244</v>
      </c>
      <c r="L36" s="304" t="s">
        <v>244</v>
      </c>
      <c r="M36" s="304" t="s">
        <v>244</v>
      </c>
      <c r="N36" s="304" t="s">
        <v>244</v>
      </c>
      <c r="O36" s="304" t="s">
        <v>244</v>
      </c>
      <c r="P36" s="304" t="s">
        <v>244</v>
      </c>
      <c r="Q36" s="304" t="s">
        <v>244</v>
      </c>
      <c r="R36" s="304" t="s">
        <v>244</v>
      </c>
      <c r="S36" s="304" t="s">
        <v>244</v>
      </c>
      <c r="T36" s="304" t="s">
        <v>244</v>
      </c>
      <c r="U36" s="304" t="s">
        <v>244</v>
      </c>
      <c r="V36" s="304" t="s">
        <v>244</v>
      </c>
      <c r="W36" s="304" t="s">
        <v>244</v>
      </c>
      <c r="X36" s="304" t="s">
        <v>244</v>
      </c>
      <c r="Y36" s="304" t="s">
        <v>244</v>
      </c>
      <c r="Z36" s="304" t="s">
        <v>244</v>
      </c>
      <c r="AA36" s="304" t="s">
        <v>244</v>
      </c>
      <c r="AB36" s="304" t="s">
        <v>244</v>
      </c>
      <c r="AC36" s="304" t="s">
        <v>244</v>
      </c>
      <c r="AD36" s="304" t="s">
        <v>244</v>
      </c>
    </row>
    <row r="37" spans="1:30" s="307" customFormat="1" ht="30.75" customHeight="1">
      <c r="A37" s="501"/>
      <c r="B37" s="495"/>
      <c r="C37" s="496" t="s">
        <v>511</v>
      </c>
      <c r="D37" s="496" t="s">
        <v>512</v>
      </c>
      <c r="E37" s="496"/>
      <c r="F37" s="304" t="s">
        <v>244</v>
      </c>
      <c r="G37" s="304" t="s">
        <v>244</v>
      </c>
      <c r="H37" s="304" t="s">
        <v>244</v>
      </c>
      <c r="I37" s="304" t="s">
        <v>244</v>
      </c>
      <c r="J37" s="304" t="s">
        <v>244</v>
      </c>
      <c r="K37" s="304" t="s">
        <v>244</v>
      </c>
      <c r="L37" s="304" t="s">
        <v>244</v>
      </c>
      <c r="M37" s="304" t="s">
        <v>244</v>
      </c>
      <c r="N37" s="304" t="s">
        <v>244</v>
      </c>
      <c r="O37" s="304" t="s">
        <v>244</v>
      </c>
      <c r="P37" s="304" t="s">
        <v>244</v>
      </c>
      <c r="Q37" s="304" t="s">
        <v>244</v>
      </c>
      <c r="R37" s="304" t="s">
        <v>244</v>
      </c>
      <c r="S37" s="304" t="s">
        <v>244</v>
      </c>
      <c r="T37" s="304" t="s">
        <v>244</v>
      </c>
      <c r="U37" s="304" t="s">
        <v>244</v>
      </c>
      <c r="V37" s="304" t="s">
        <v>244</v>
      </c>
      <c r="W37" s="304" t="s">
        <v>244</v>
      </c>
      <c r="X37" s="304" t="s">
        <v>244</v>
      </c>
      <c r="Y37" s="304" t="s">
        <v>244</v>
      </c>
      <c r="Z37" s="304" t="s">
        <v>244</v>
      </c>
      <c r="AA37" s="304" t="s">
        <v>244</v>
      </c>
      <c r="AB37" s="304" t="s">
        <v>244</v>
      </c>
      <c r="AC37" s="304" t="s">
        <v>244</v>
      </c>
      <c r="AD37" s="304" t="s">
        <v>244</v>
      </c>
    </row>
    <row r="38" spans="1:30" s="307" customFormat="1" ht="30.75" customHeight="1">
      <c r="A38" s="501"/>
      <c r="B38" s="495"/>
      <c r="C38" s="496"/>
      <c r="D38" s="496" t="s">
        <v>513</v>
      </c>
      <c r="E38" s="496"/>
      <c r="F38" s="304" t="s">
        <v>244</v>
      </c>
      <c r="G38" s="304" t="s">
        <v>244</v>
      </c>
      <c r="H38" s="304" t="s">
        <v>244</v>
      </c>
      <c r="I38" s="304" t="s">
        <v>244</v>
      </c>
      <c r="J38" s="304" t="s">
        <v>244</v>
      </c>
      <c r="K38" s="304" t="s">
        <v>244</v>
      </c>
      <c r="L38" s="304" t="s">
        <v>244</v>
      </c>
      <c r="M38" s="304" t="s">
        <v>244</v>
      </c>
      <c r="N38" s="304" t="s">
        <v>244</v>
      </c>
      <c r="O38" s="304" t="s">
        <v>244</v>
      </c>
      <c r="P38" s="304" t="s">
        <v>244</v>
      </c>
      <c r="Q38" s="304" t="s">
        <v>244</v>
      </c>
      <c r="R38" s="304" t="s">
        <v>244</v>
      </c>
      <c r="S38" s="304" t="s">
        <v>244</v>
      </c>
      <c r="T38" s="304" t="s">
        <v>244</v>
      </c>
      <c r="U38" s="304" t="s">
        <v>244</v>
      </c>
      <c r="V38" s="304" t="s">
        <v>244</v>
      </c>
      <c r="W38" s="304" t="s">
        <v>244</v>
      </c>
      <c r="X38" s="304" t="s">
        <v>244</v>
      </c>
      <c r="Y38" s="304" t="s">
        <v>244</v>
      </c>
      <c r="Z38" s="304" t="s">
        <v>244</v>
      </c>
      <c r="AA38" s="304" t="s">
        <v>244</v>
      </c>
      <c r="AB38" s="304" t="s">
        <v>244</v>
      </c>
      <c r="AC38" s="304" t="s">
        <v>244</v>
      </c>
      <c r="AD38" s="304" t="s">
        <v>244</v>
      </c>
    </row>
    <row r="39" spans="1:30" s="307" customFormat="1" ht="45" customHeight="1">
      <c r="A39" s="501"/>
      <c r="B39" s="495"/>
      <c r="C39" s="308" t="s">
        <v>514</v>
      </c>
      <c r="D39" s="496" t="s">
        <v>515</v>
      </c>
      <c r="E39" s="496"/>
      <c r="F39" s="304" t="s">
        <v>244</v>
      </c>
      <c r="G39" s="304" t="s">
        <v>244</v>
      </c>
      <c r="H39" s="304" t="s">
        <v>244</v>
      </c>
      <c r="I39" s="304" t="s">
        <v>244</v>
      </c>
      <c r="J39" s="304" t="s">
        <v>244</v>
      </c>
      <c r="K39" s="304" t="s">
        <v>244</v>
      </c>
      <c r="L39" s="304" t="s">
        <v>244</v>
      </c>
      <c r="M39" s="304" t="s">
        <v>244</v>
      </c>
      <c r="N39" s="304" t="s">
        <v>244</v>
      </c>
      <c r="O39" s="304" t="s">
        <v>244</v>
      </c>
      <c r="P39" s="304" t="s">
        <v>244</v>
      </c>
      <c r="Q39" s="304" t="s">
        <v>244</v>
      </c>
      <c r="R39" s="304" t="s">
        <v>244</v>
      </c>
      <c r="S39" s="304" t="s">
        <v>244</v>
      </c>
      <c r="T39" s="304" t="s">
        <v>244</v>
      </c>
      <c r="U39" s="304" t="s">
        <v>244</v>
      </c>
      <c r="V39" s="304" t="s">
        <v>244</v>
      </c>
      <c r="W39" s="304" t="s">
        <v>244</v>
      </c>
      <c r="X39" s="304" t="s">
        <v>244</v>
      </c>
      <c r="Y39" s="304" t="s">
        <v>244</v>
      </c>
      <c r="Z39" s="304" t="s">
        <v>244</v>
      </c>
      <c r="AA39" s="304" t="s">
        <v>244</v>
      </c>
      <c r="AB39" s="304" t="s">
        <v>244</v>
      </c>
      <c r="AC39" s="304" t="s">
        <v>244</v>
      </c>
      <c r="AD39" s="304" t="s">
        <v>244</v>
      </c>
    </row>
    <row r="40" spans="1:30" s="307" customFormat="1" ht="15" customHeight="1">
      <c r="A40" s="501"/>
      <c r="B40" s="495" t="s">
        <v>500</v>
      </c>
      <c r="C40" s="496" t="s">
        <v>506</v>
      </c>
      <c r="D40" s="496" t="s">
        <v>507</v>
      </c>
      <c r="E40" s="303" t="s">
        <v>500</v>
      </c>
      <c r="F40" s="304" t="s">
        <v>244</v>
      </c>
      <c r="G40" s="304" t="s">
        <v>244</v>
      </c>
      <c r="H40" s="304" t="s">
        <v>244</v>
      </c>
      <c r="I40" s="304" t="s">
        <v>244</v>
      </c>
      <c r="J40" s="304" t="s">
        <v>244</v>
      </c>
      <c r="K40" s="304" t="s">
        <v>244</v>
      </c>
      <c r="L40" s="304" t="s">
        <v>244</v>
      </c>
      <c r="M40" s="304" t="s">
        <v>244</v>
      </c>
      <c r="N40" s="304" t="s">
        <v>244</v>
      </c>
      <c r="O40" s="304" t="s">
        <v>244</v>
      </c>
      <c r="P40" s="304" t="s">
        <v>244</v>
      </c>
      <c r="Q40" s="304" t="s">
        <v>244</v>
      </c>
      <c r="R40" s="304" t="s">
        <v>244</v>
      </c>
      <c r="S40" s="304" t="s">
        <v>244</v>
      </c>
      <c r="T40" s="304" t="s">
        <v>244</v>
      </c>
      <c r="U40" s="304" t="s">
        <v>244</v>
      </c>
      <c r="V40" s="304" t="s">
        <v>244</v>
      </c>
      <c r="W40" s="304" t="s">
        <v>244</v>
      </c>
      <c r="X40" s="304" t="s">
        <v>244</v>
      </c>
      <c r="Y40" s="304" t="s">
        <v>244</v>
      </c>
      <c r="Z40" s="304" t="s">
        <v>244</v>
      </c>
      <c r="AA40" s="304" t="s">
        <v>244</v>
      </c>
      <c r="AB40" s="304" t="s">
        <v>244</v>
      </c>
      <c r="AC40" s="304" t="s">
        <v>244</v>
      </c>
      <c r="AD40" s="304" t="s">
        <v>244</v>
      </c>
    </row>
    <row r="41" spans="1:30" s="307" customFormat="1" ht="30">
      <c r="A41" s="501"/>
      <c r="B41" s="495"/>
      <c r="C41" s="496"/>
      <c r="D41" s="496"/>
      <c r="E41" s="303" t="s">
        <v>508</v>
      </c>
      <c r="F41" s="304" t="s">
        <v>244</v>
      </c>
      <c r="G41" s="304" t="s">
        <v>244</v>
      </c>
      <c r="H41" s="304" t="s">
        <v>244</v>
      </c>
      <c r="I41" s="304" t="s">
        <v>244</v>
      </c>
      <c r="J41" s="304" t="s">
        <v>244</v>
      </c>
      <c r="K41" s="304" t="s">
        <v>244</v>
      </c>
      <c r="L41" s="304" t="s">
        <v>244</v>
      </c>
      <c r="M41" s="304" t="s">
        <v>244</v>
      </c>
      <c r="N41" s="304" t="s">
        <v>244</v>
      </c>
      <c r="O41" s="304" t="s">
        <v>244</v>
      </c>
      <c r="P41" s="304" t="s">
        <v>244</v>
      </c>
      <c r="Q41" s="304" t="s">
        <v>244</v>
      </c>
      <c r="R41" s="304" t="s">
        <v>244</v>
      </c>
      <c r="S41" s="304" t="s">
        <v>244</v>
      </c>
      <c r="T41" s="304" t="s">
        <v>244</v>
      </c>
      <c r="U41" s="304" t="s">
        <v>244</v>
      </c>
      <c r="V41" s="304" t="s">
        <v>244</v>
      </c>
      <c r="W41" s="304" t="s">
        <v>244</v>
      </c>
      <c r="X41" s="304" t="s">
        <v>244</v>
      </c>
      <c r="Y41" s="304" t="s">
        <v>244</v>
      </c>
      <c r="Z41" s="304" t="s">
        <v>244</v>
      </c>
      <c r="AA41" s="304" t="s">
        <v>244</v>
      </c>
      <c r="AB41" s="304" t="s">
        <v>244</v>
      </c>
      <c r="AC41" s="304" t="s">
        <v>244</v>
      </c>
      <c r="AD41" s="304" t="s">
        <v>244</v>
      </c>
    </row>
    <row r="42" spans="1:30" s="307" customFormat="1" ht="30">
      <c r="A42" s="501"/>
      <c r="B42" s="495"/>
      <c r="C42" s="496"/>
      <c r="D42" s="496"/>
      <c r="E42" s="303" t="s">
        <v>509</v>
      </c>
      <c r="F42" s="304" t="s">
        <v>244</v>
      </c>
      <c r="G42" s="304" t="s">
        <v>244</v>
      </c>
      <c r="H42" s="304" t="s">
        <v>244</v>
      </c>
      <c r="I42" s="304" t="s">
        <v>244</v>
      </c>
      <c r="J42" s="304" t="s">
        <v>244</v>
      </c>
      <c r="K42" s="304" t="s">
        <v>244</v>
      </c>
      <c r="L42" s="304" t="s">
        <v>244</v>
      </c>
      <c r="M42" s="304" t="s">
        <v>244</v>
      </c>
      <c r="N42" s="304" t="s">
        <v>244</v>
      </c>
      <c r="O42" s="304" t="s">
        <v>244</v>
      </c>
      <c r="P42" s="304" t="s">
        <v>244</v>
      </c>
      <c r="Q42" s="304" t="s">
        <v>244</v>
      </c>
      <c r="R42" s="304" t="s">
        <v>244</v>
      </c>
      <c r="S42" s="304" t="s">
        <v>244</v>
      </c>
      <c r="T42" s="304" t="s">
        <v>244</v>
      </c>
      <c r="U42" s="304" t="s">
        <v>244</v>
      </c>
      <c r="V42" s="304" t="s">
        <v>244</v>
      </c>
      <c r="W42" s="304" t="s">
        <v>244</v>
      </c>
      <c r="X42" s="304" t="s">
        <v>244</v>
      </c>
      <c r="Y42" s="304" t="s">
        <v>244</v>
      </c>
      <c r="Z42" s="304" t="s">
        <v>244</v>
      </c>
      <c r="AA42" s="304" t="s">
        <v>244</v>
      </c>
      <c r="AB42" s="304" t="s">
        <v>244</v>
      </c>
      <c r="AC42" s="304" t="s">
        <v>244</v>
      </c>
      <c r="AD42" s="304" t="s">
        <v>244</v>
      </c>
    </row>
    <row r="43" spans="1:30" s="307" customFormat="1">
      <c r="A43" s="501"/>
      <c r="B43" s="495"/>
      <c r="C43" s="496"/>
      <c r="D43" s="496" t="s">
        <v>510</v>
      </c>
      <c r="E43" s="496"/>
      <c r="F43" s="304" t="s">
        <v>244</v>
      </c>
      <c r="G43" s="304" t="s">
        <v>244</v>
      </c>
      <c r="H43" s="304" t="s">
        <v>244</v>
      </c>
      <c r="I43" s="304" t="s">
        <v>244</v>
      </c>
      <c r="J43" s="304" t="s">
        <v>244</v>
      </c>
      <c r="K43" s="304" t="s">
        <v>244</v>
      </c>
      <c r="L43" s="304" t="s">
        <v>244</v>
      </c>
      <c r="M43" s="304" t="s">
        <v>244</v>
      </c>
      <c r="N43" s="304" t="s">
        <v>244</v>
      </c>
      <c r="O43" s="304" t="s">
        <v>244</v>
      </c>
      <c r="P43" s="304" t="s">
        <v>244</v>
      </c>
      <c r="Q43" s="304" t="s">
        <v>244</v>
      </c>
      <c r="R43" s="304" t="s">
        <v>244</v>
      </c>
      <c r="S43" s="304" t="s">
        <v>244</v>
      </c>
      <c r="T43" s="304" t="s">
        <v>244</v>
      </c>
      <c r="U43" s="304" t="s">
        <v>244</v>
      </c>
      <c r="V43" s="304" t="s">
        <v>244</v>
      </c>
      <c r="W43" s="304" t="s">
        <v>244</v>
      </c>
      <c r="X43" s="304" t="s">
        <v>244</v>
      </c>
      <c r="Y43" s="304" t="s">
        <v>244</v>
      </c>
      <c r="Z43" s="304" t="s">
        <v>244</v>
      </c>
      <c r="AA43" s="304" t="s">
        <v>244</v>
      </c>
      <c r="AB43" s="304" t="s">
        <v>244</v>
      </c>
      <c r="AC43" s="304" t="s">
        <v>244</v>
      </c>
      <c r="AD43" s="304" t="s">
        <v>244</v>
      </c>
    </row>
    <row r="44" spans="1:30" s="307" customFormat="1" ht="30.75" customHeight="1">
      <c r="A44" s="501"/>
      <c r="B44" s="495"/>
      <c r="C44" s="496" t="s">
        <v>511</v>
      </c>
      <c r="D44" s="496" t="s">
        <v>512</v>
      </c>
      <c r="E44" s="496"/>
      <c r="F44" s="304" t="s">
        <v>244</v>
      </c>
      <c r="G44" s="304" t="s">
        <v>244</v>
      </c>
      <c r="H44" s="304" t="s">
        <v>244</v>
      </c>
      <c r="I44" s="304" t="s">
        <v>244</v>
      </c>
      <c r="J44" s="304" t="s">
        <v>244</v>
      </c>
      <c r="K44" s="304" t="s">
        <v>244</v>
      </c>
      <c r="L44" s="304" t="s">
        <v>244</v>
      </c>
      <c r="M44" s="304" t="s">
        <v>244</v>
      </c>
      <c r="N44" s="304" t="s">
        <v>244</v>
      </c>
      <c r="O44" s="304" t="s">
        <v>244</v>
      </c>
      <c r="P44" s="304" t="s">
        <v>244</v>
      </c>
      <c r="Q44" s="304" t="s">
        <v>244</v>
      </c>
      <c r="R44" s="304" t="s">
        <v>244</v>
      </c>
      <c r="S44" s="304" t="s">
        <v>244</v>
      </c>
      <c r="T44" s="304" t="s">
        <v>244</v>
      </c>
      <c r="U44" s="304" t="s">
        <v>244</v>
      </c>
      <c r="V44" s="304" t="s">
        <v>244</v>
      </c>
      <c r="W44" s="304" t="s">
        <v>244</v>
      </c>
      <c r="X44" s="304" t="s">
        <v>244</v>
      </c>
      <c r="Y44" s="304" t="s">
        <v>244</v>
      </c>
      <c r="Z44" s="304" t="s">
        <v>244</v>
      </c>
      <c r="AA44" s="304" t="s">
        <v>244</v>
      </c>
      <c r="AB44" s="304" t="s">
        <v>244</v>
      </c>
      <c r="AC44" s="304" t="s">
        <v>244</v>
      </c>
      <c r="AD44" s="304" t="s">
        <v>244</v>
      </c>
    </row>
    <row r="45" spans="1:30" s="307" customFormat="1" ht="31.5" customHeight="1">
      <c r="A45" s="501"/>
      <c r="B45" s="495"/>
      <c r="C45" s="497"/>
      <c r="D45" s="496" t="s">
        <v>513</v>
      </c>
      <c r="E45" s="496"/>
      <c r="F45" s="304" t="s">
        <v>244</v>
      </c>
      <c r="G45" s="304" t="s">
        <v>244</v>
      </c>
      <c r="H45" s="304" t="s">
        <v>244</v>
      </c>
      <c r="I45" s="304" t="s">
        <v>244</v>
      </c>
      <c r="J45" s="304" t="s">
        <v>244</v>
      </c>
      <c r="K45" s="304" t="s">
        <v>244</v>
      </c>
      <c r="L45" s="304" t="s">
        <v>244</v>
      </c>
      <c r="M45" s="304" t="s">
        <v>244</v>
      </c>
      <c r="N45" s="304" t="s">
        <v>244</v>
      </c>
      <c r="O45" s="304" t="s">
        <v>244</v>
      </c>
      <c r="P45" s="304" t="s">
        <v>244</v>
      </c>
      <c r="Q45" s="304" t="s">
        <v>244</v>
      </c>
      <c r="R45" s="304" t="s">
        <v>244</v>
      </c>
      <c r="S45" s="304" t="s">
        <v>244</v>
      </c>
      <c r="T45" s="304" t="s">
        <v>244</v>
      </c>
      <c r="U45" s="304" t="s">
        <v>244</v>
      </c>
      <c r="V45" s="304" t="s">
        <v>244</v>
      </c>
      <c r="W45" s="304" t="s">
        <v>244</v>
      </c>
      <c r="X45" s="304" t="s">
        <v>244</v>
      </c>
      <c r="Y45" s="304" t="s">
        <v>244</v>
      </c>
      <c r="Z45" s="304" t="s">
        <v>244</v>
      </c>
      <c r="AA45" s="304" t="s">
        <v>244</v>
      </c>
      <c r="AB45" s="304" t="s">
        <v>244</v>
      </c>
      <c r="AC45" s="304" t="s">
        <v>244</v>
      </c>
      <c r="AD45" s="304" t="s">
        <v>244</v>
      </c>
    </row>
    <row r="46" spans="1:30" s="305" customFormat="1" ht="45" customHeight="1">
      <c r="A46" s="502"/>
      <c r="B46" s="495"/>
      <c r="C46" s="303" t="s">
        <v>514</v>
      </c>
      <c r="D46" s="496" t="s">
        <v>515</v>
      </c>
      <c r="E46" s="496"/>
      <c r="F46" s="304" t="s">
        <v>244</v>
      </c>
      <c r="G46" s="304" t="s">
        <v>244</v>
      </c>
      <c r="H46" s="304" t="s">
        <v>244</v>
      </c>
      <c r="I46" s="304" t="s">
        <v>244</v>
      </c>
      <c r="J46" s="304" t="s">
        <v>244</v>
      </c>
      <c r="K46" s="304" t="s">
        <v>244</v>
      </c>
      <c r="L46" s="304" t="s">
        <v>244</v>
      </c>
      <c r="M46" s="304" t="s">
        <v>244</v>
      </c>
      <c r="N46" s="304" t="s">
        <v>244</v>
      </c>
      <c r="O46" s="304" t="s">
        <v>244</v>
      </c>
      <c r="P46" s="304" t="s">
        <v>244</v>
      </c>
      <c r="Q46" s="304" t="s">
        <v>244</v>
      </c>
      <c r="R46" s="304" t="s">
        <v>244</v>
      </c>
      <c r="S46" s="304" t="s">
        <v>244</v>
      </c>
      <c r="T46" s="304" t="s">
        <v>244</v>
      </c>
      <c r="U46" s="304" t="s">
        <v>244</v>
      </c>
      <c r="V46" s="304" t="s">
        <v>244</v>
      </c>
      <c r="W46" s="304" t="s">
        <v>244</v>
      </c>
      <c r="X46" s="304" t="s">
        <v>244</v>
      </c>
      <c r="Y46" s="304" t="s">
        <v>244</v>
      </c>
      <c r="Z46" s="304" t="s">
        <v>244</v>
      </c>
      <c r="AA46" s="304" t="s">
        <v>244</v>
      </c>
      <c r="AB46" s="304" t="s">
        <v>244</v>
      </c>
      <c r="AC46" s="304" t="s">
        <v>244</v>
      </c>
      <c r="AD46" s="304" t="s">
        <v>244</v>
      </c>
    </row>
    <row r="47" spans="1:30" s="307" customFormat="1" ht="15.75">
      <c r="A47" s="309" t="s">
        <v>520</v>
      </c>
    </row>
    <row r="48" spans="1:30" s="307" customFormat="1" ht="15.75">
      <c r="A48" s="309" t="s">
        <v>521</v>
      </c>
    </row>
    <row r="49" spans="1:1" ht="15.75">
      <c r="A49" s="309" t="s">
        <v>522</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8"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523" t="s">
        <v>559</v>
      </c>
      <c r="B1" s="524"/>
      <c r="C1" s="524"/>
      <c r="D1" s="524"/>
      <c r="E1" s="524"/>
      <c r="F1" s="524"/>
      <c r="G1" s="524"/>
      <c r="H1" s="524"/>
      <c r="I1" s="524"/>
      <c r="J1" s="524"/>
      <c r="K1" s="524"/>
      <c r="L1" s="524"/>
      <c r="M1" s="524"/>
      <c r="N1" s="524"/>
      <c r="O1" s="524"/>
      <c r="P1" s="524"/>
      <c r="Q1" s="524"/>
      <c r="R1" s="525"/>
      <c r="S1" s="525"/>
    </row>
    <row r="2" spans="1:19" ht="15.75" thickBot="1"/>
    <row r="3" spans="1:19" ht="15" customHeight="1" thickBot="1">
      <c r="A3" s="526" t="s">
        <v>523</v>
      </c>
      <c r="B3" s="528" t="s">
        <v>524</v>
      </c>
      <c r="C3" s="526" t="s">
        <v>525</v>
      </c>
      <c r="D3" s="516" t="s">
        <v>526</v>
      </c>
      <c r="E3" s="516" t="s">
        <v>527</v>
      </c>
      <c r="F3" s="516" t="s">
        <v>528</v>
      </c>
      <c r="G3" s="516" t="s">
        <v>529</v>
      </c>
      <c r="H3" s="516"/>
      <c r="I3" s="516"/>
      <c r="J3" s="516"/>
      <c r="K3" s="516"/>
      <c r="L3" s="516"/>
      <c r="M3" s="516"/>
      <c r="N3" s="516"/>
      <c r="O3" s="516" t="s">
        <v>530</v>
      </c>
      <c r="P3" s="529"/>
      <c r="Q3" s="529"/>
      <c r="R3" s="516" t="s">
        <v>531</v>
      </c>
      <c r="S3" s="529"/>
    </row>
    <row r="4" spans="1:19" ht="25.5" customHeight="1" thickBot="1">
      <c r="A4" s="526"/>
      <c r="B4" s="528"/>
      <c r="C4" s="526"/>
      <c r="D4" s="516"/>
      <c r="E4" s="516"/>
      <c r="F4" s="516"/>
      <c r="G4" s="516" t="s">
        <v>532</v>
      </c>
      <c r="H4" s="516"/>
      <c r="I4" s="516" t="s">
        <v>533</v>
      </c>
      <c r="J4" s="516"/>
      <c r="K4" s="516" t="s">
        <v>534</v>
      </c>
      <c r="L4" s="516"/>
      <c r="M4" s="516" t="s">
        <v>535</v>
      </c>
      <c r="N4" s="516"/>
      <c r="O4" s="516"/>
      <c r="P4" s="529"/>
      <c r="Q4" s="529"/>
      <c r="R4" s="529"/>
      <c r="S4" s="529"/>
    </row>
    <row r="5" spans="1:19" ht="30" customHeight="1" thickBot="1">
      <c r="A5" s="527"/>
      <c r="B5" s="527"/>
      <c r="C5" s="527"/>
      <c r="D5" s="527"/>
      <c r="E5" s="527"/>
      <c r="F5" s="527"/>
      <c r="G5" s="310" t="s">
        <v>536</v>
      </c>
      <c r="H5" s="310" t="s">
        <v>537</v>
      </c>
      <c r="I5" s="310" t="s">
        <v>536</v>
      </c>
      <c r="J5" s="310" t="s">
        <v>537</v>
      </c>
      <c r="K5" s="310" t="s">
        <v>536</v>
      </c>
      <c r="L5" s="310" t="s">
        <v>537</v>
      </c>
      <c r="M5" s="310" t="s">
        <v>536</v>
      </c>
      <c r="N5" s="310" t="s">
        <v>537</v>
      </c>
      <c r="O5" s="310" t="s">
        <v>538</v>
      </c>
      <c r="P5" s="310" t="s">
        <v>536</v>
      </c>
      <c r="Q5" s="310" t="s">
        <v>539</v>
      </c>
      <c r="R5" s="310" t="s">
        <v>540</v>
      </c>
      <c r="S5" s="310" t="s">
        <v>541</v>
      </c>
    </row>
    <row r="6" spans="1:19" ht="15.75" thickBot="1">
      <c r="A6" s="311">
        <v>1</v>
      </c>
      <c r="B6" s="311">
        <v>2</v>
      </c>
      <c r="C6" s="311">
        <v>3</v>
      </c>
      <c r="D6" s="312">
        <v>4</v>
      </c>
      <c r="E6" s="312">
        <v>5</v>
      </c>
      <c r="F6" s="312">
        <v>6</v>
      </c>
      <c r="G6" s="312">
        <v>7</v>
      </c>
      <c r="H6" s="312">
        <v>8</v>
      </c>
      <c r="I6" s="312">
        <v>9</v>
      </c>
      <c r="J6" s="312">
        <v>10</v>
      </c>
      <c r="K6" s="312">
        <v>11</v>
      </c>
      <c r="L6" s="312">
        <v>12</v>
      </c>
      <c r="M6" s="312">
        <v>13</v>
      </c>
      <c r="N6" s="312">
        <v>14</v>
      </c>
      <c r="O6" s="312">
        <v>15</v>
      </c>
      <c r="P6" s="312">
        <v>16</v>
      </c>
      <c r="Q6" s="312">
        <v>17</v>
      </c>
      <c r="R6" s="312">
        <v>18</v>
      </c>
      <c r="S6" s="312">
        <v>19</v>
      </c>
    </row>
    <row r="7" spans="1:19">
      <c r="A7" s="313" t="s">
        <v>244</v>
      </c>
      <c r="B7" s="313" t="s">
        <v>244</v>
      </c>
      <c r="C7" s="313" t="s">
        <v>244</v>
      </c>
      <c r="D7" s="313" t="s">
        <v>244</v>
      </c>
      <c r="E7" s="313" t="s">
        <v>244</v>
      </c>
      <c r="F7" s="314" t="s">
        <v>501</v>
      </c>
      <c r="G7" s="315" t="s">
        <v>244</v>
      </c>
      <c r="H7" s="315" t="s">
        <v>244</v>
      </c>
      <c r="I7" s="315" t="s">
        <v>244</v>
      </c>
      <c r="J7" s="315" t="s">
        <v>244</v>
      </c>
      <c r="K7" s="315" t="s">
        <v>244</v>
      </c>
      <c r="L7" s="315" t="s">
        <v>244</v>
      </c>
      <c r="M7" s="315" t="s">
        <v>244</v>
      </c>
      <c r="N7" s="315" t="s">
        <v>244</v>
      </c>
      <c r="O7" s="315" t="s">
        <v>244</v>
      </c>
      <c r="P7" s="315" t="s">
        <v>244</v>
      </c>
      <c r="Q7" s="315" t="s">
        <v>244</v>
      </c>
      <c r="R7" s="315" t="s">
        <v>244</v>
      </c>
      <c r="S7" s="315" t="s">
        <v>244</v>
      </c>
    </row>
    <row r="8" spans="1:19">
      <c r="A8" s="313" t="s">
        <v>244</v>
      </c>
      <c r="B8" s="313" t="s">
        <v>244</v>
      </c>
      <c r="C8" s="313" t="s">
        <v>244</v>
      </c>
      <c r="D8" s="313" t="s">
        <v>244</v>
      </c>
      <c r="E8" s="313" t="s">
        <v>244</v>
      </c>
      <c r="F8" s="314" t="s">
        <v>244</v>
      </c>
      <c r="G8" s="315" t="s">
        <v>244</v>
      </c>
      <c r="H8" s="315" t="s">
        <v>244</v>
      </c>
      <c r="I8" s="315" t="s">
        <v>244</v>
      </c>
      <c r="J8" s="315" t="s">
        <v>244</v>
      </c>
      <c r="K8" s="315" t="s">
        <v>244</v>
      </c>
      <c r="L8" s="315" t="s">
        <v>244</v>
      </c>
      <c r="M8" s="315" t="s">
        <v>244</v>
      </c>
      <c r="N8" s="315" t="s">
        <v>244</v>
      </c>
      <c r="O8" s="315" t="s">
        <v>244</v>
      </c>
      <c r="P8" s="315" t="s">
        <v>244</v>
      </c>
      <c r="Q8" s="315" t="s">
        <v>244</v>
      </c>
      <c r="R8" s="315" t="s">
        <v>244</v>
      </c>
      <c r="S8" s="315" t="s">
        <v>244</v>
      </c>
    </row>
    <row r="9" spans="1:19">
      <c r="A9" s="313" t="s">
        <v>244</v>
      </c>
      <c r="B9" s="313" t="s">
        <v>244</v>
      </c>
      <c r="C9" s="313" t="s">
        <v>244</v>
      </c>
      <c r="D9" s="313" t="s">
        <v>244</v>
      </c>
      <c r="E9" s="313" t="s">
        <v>244</v>
      </c>
      <c r="F9" s="314" t="s">
        <v>244</v>
      </c>
      <c r="G9" s="315" t="s">
        <v>244</v>
      </c>
      <c r="H9" s="315" t="s">
        <v>244</v>
      </c>
      <c r="I9" s="315" t="s">
        <v>244</v>
      </c>
      <c r="J9" s="315" t="s">
        <v>244</v>
      </c>
      <c r="K9" s="315" t="s">
        <v>244</v>
      </c>
      <c r="L9" s="315" t="s">
        <v>244</v>
      </c>
      <c r="M9" s="315" t="s">
        <v>244</v>
      </c>
      <c r="N9" s="315" t="s">
        <v>244</v>
      </c>
      <c r="O9" s="315" t="s">
        <v>244</v>
      </c>
      <c r="P9" s="315" t="s">
        <v>244</v>
      </c>
      <c r="Q9" s="315" t="s">
        <v>244</v>
      </c>
      <c r="R9" s="315" t="s">
        <v>244</v>
      </c>
      <c r="S9" s="315" t="s">
        <v>244</v>
      </c>
    </row>
    <row r="10" spans="1:19">
      <c r="A10" s="313" t="s">
        <v>244</v>
      </c>
      <c r="B10" s="313" t="s">
        <v>244</v>
      </c>
      <c r="C10" s="313" t="s">
        <v>244</v>
      </c>
      <c r="D10" s="313" t="s">
        <v>244</v>
      </c>
      <c r="E10" s="313" t="s">
        <v>244</v>
      </c>
      <c r="F10" s="314" t="s">
        <v>244</v>
      </c>
      <c r="G10" s="315" t="s">
        <v>244</v>
      </c>
      <c r="H10" s="315" t="s">
        <v>244</v>
      </c>
      <c r="I10" s="315" t="s">
        <v>244</v>
      </c>
      <c r="J10" s="315" t="s">
        <v>244</v>
      </c>
      <c r="K10" s="315" t="s">
        <v>244</v>
      </c>
      <c r="L10" s="315" t="s">
        <v>244</v>
      </c>
      <c r="M10" s="315" t="s">
        <v>244</v>
      </c>
      <c r="N10" s="315" t="s">
        <v>244</v>
      </c>
      <c r="O10" s="315" t="s">
        <v>244</v>
      </c>
      <c r="P10" s="315" t="s">
        <v>244</v>
      </c>
      <c r="Q10" s="315" t="s">
        <v>244</v>
      </c>
      <c r="R10" s="315" t="s">
        <v>244</v>
      </c>
      <c r="S10" s="315" t="s">
        <v>244</v>
      </c>
    </row>
    <row r="11" spans="1:19">
      <c r="A11" s="313" t="s">
        <v>244</v>
      </c>
      <c r="B11" s="313" t="s">
        <v>244</v>
      </c>
      <c r="C11" s="313" t="s">
        <v>244</v>
      </c>
      <c r="D11" s="313" t="s">
        <v>244</v>
      </c>
      <c r="E11" s="313" t="s">
        <v>244</v>
      </c>
      <c r="F11" s="316" t="s">
        <v>502</v>
      </c>
      <c r="G11" s="315" t="s">
        <v>244</v>
      </c>
      <c r="H11" s="315" t="s">
        <v>244</v>
      </c>
      <c r="I11" s="315" t="s">
        <v>244</v>
      </c>
      <c r="J11" s="315" t="s">
        <v>244</v>
      </c>
      <c r="K11" s="315" t="s">
        <v>244</v>
      </c>
      <c r="L11" s="315" t="s">
        <v>244</v>
      </c>
      <c r="M11" s="315" t="s">
        <v>244</v>
      </c>
      <c r="N11" s="315" t="s">
        <v>244</v>
      </c>
      <c r="O11" s="315" t="s">
        <v>244</v>
      </c>
      <c r="P11" s="315" t="s">
        <v>244</v>
      </c>
      <c r="Q11" s="315" t="s">
        <v>244</v>
      </c>
      <c r="R11" s="315" t="s">
        <v>244</v>
      </c>
      <c r="S11" s="315" t="s">
        <v>244</v>
      </c>
    </row>
    <row r="12" spans="1:19">
      <c r="A12" s="313" t="s">
        <v>244</v>
      </c>
      <c r="B12" s="313" t="s">
        <v>244</v>
      </c>
      <c r="C12" s="313" t="s">
        <v>244</v>
      </c>
      <c r="D12" s="313" t="s">
        <v>244</v>
      </c>
      <c r="E12" s="313" t="s">
        <v>244</v>
      </c>
      <c r="F12" s="314" t="s">
        <v>244</v>
      </c>
      <c r="G12" s="315" t="s">
        <v>244</v>
      </c>
      <c r="H12" s="315" t="s">
        <v>244</v>
      </c>
      <c r="I12" s="315" t="s">
        <v>244</v>
      </c>
      <c r="J12" s="315" t="s">
        <v>244</v>
      </c>
      <c r="K12" s="315" t="s">
        <v>244</v>
      </c>
      <c r="L12" s="315" t="s">
        <v>244</v>
      </c>
      <c r="M12" s="315" t="s">
        <v>244</v>
      </c>
      <c r="N12" s="315" t="s">
        <v>244</v>
      </c>
      <c r="O12" s="315" t="s">
        <v>244</v>
      </c>
      <c r="P12" s="315" t="s">
        <v>244</v>
      </c>
      <c r="Q12" s="315" t="s">
        <v>244</v>
      </c>
      <c r="R12" s="315" t="s">
        <v>244</v>
      </c>
      <c r="S12" s="315" t="s">
        <v>244</v>
      </c>
    </row>
    <row r="13" spans="1:19">
      <c r="A13" s="313" t="s">
        <v>244</v>
      </c>
      <c r="B13" s="313" t="s">
        <v>244</v>
      </c>
      <c r="C13" s="313" t="s">
        <v>244</v>
      </c>
      <c r="D13" s="313" t="s">
        <v>244</v>
      </c>
      <c r="E13" s="313" t="s">
        <v>244</v>
      </c>
      <c r="F13" s="314" t="s">
        <v>244</v>
      </c>
      <c r="G13" s="315" t="s">
        <v>244</v>
      </c>
      <c r="H13" s="315" t="s">
        <v>244</v>
      </c>
      <c r="I13" s="315" t="s">
        <v>244</v>
      </c>
      <c r="J13" s="315" t="s">
        <v>244</v>
      </c>
      <c r="K13" s="315" t="s">
        <v>244</v>
      </c>
      <c r="L13" s="315" t="s">
        <v>244</v>
      </c>
      <c r="M13" s="315" t="s">
        <v>244</v>
      </c>
      <c r="N13" s="315" t="s">
        <v>244</v>
      </c>
      <c r="O13" s="315" t="s">
        <v>244</v>
      </c>
      <c r="P13" s="315" t="s">
        <v>244</v>
      </c>
      <c r="Q13" s="315" t="s">
        <v>244</v>
      </c>
      <c r="R13" s="315" t="s">
        <v>244</v>
      </c>
      <c r="S13" s="315" t="s">
        <v>244</v>
      </c>
    </row>
    <row r="14" spans="1:19">
      <c r="A14" s="313" t="s">
        <v>244</v>
      </c>
      <c r="B14" s="313" t="s">
        <v>244</v>
      </c>
      <c r="C14" s="313" t="s">
        <v>244</v>
      </c>
      <c r="D14" s="313" t="s">
        <v>244</v>
      </c>
      <c r="E14" s="313" t="s">
        <v>244</v>
      </c>
      <c r="F14" s="314" t="s">
        <v>244</v>
      </c>
      <c r="G14" s="315" t="s">
        <v>244</v>
      </c>
      <c r="H14" s="315" t="s">
        <v>244</v>
      </c>
      <c r="I14" s="315" t="s">
        <v>244</v>
      </c>
      <c r="J14" s="315" t="s">
        <v>244</v>
      </c>
      <c r="K14" s="315" t="s">
        <v>244</v>
      </c>
      <c r="L14" s="315" t="s">
        <v>244</v>
      </c>
      <c r="M14" s="315" t="s">
        <v>244</v>
      </c>
      <c r="N14" s="315" t="s">
        <v>244</v>
      </c>
      <c r="O14" s="315" t="s">
        <v>244</v>
      </c>
      <c r="P14" s="315" t="s">
        <v>244</v>
      </c>
      <c r="Q14" s="315" t="s">
        <v>244</v>
      </c>
      <c r="R14" s="315" t="s">
        <v>244</v>
      </c>
      <c r="S14" s="315" t="s">
        <v>244</v>
      </c>
    </row>
    <row r="15" spans="1:19">
      <c r="A15" s="313" t="s">
        <v>244</v>
      </c>
      <c r="B15" s="313" t="s">
        <v>244</v>
      </c>
      <c r="C15" s="313" t="s">
        <v>244</v>
      </c>
      <c r="D15" s="313" t="s">
        <v>244</v>
      </c>
      <c r="E15" s="313" t="s">
        <v>244</v>
      </c>
      <c r="F15" s="316" t="s">
        <v>503</v>
      </c>
      <c r="G15" s="315" t="s">
        <v>244</v>
      </c>
      <c r="H15" s="315" t="s">
        <v>244</v>
      </c>
      <c r="I15" s="315" t="s">
        <v>244</v>
      </c>
      <c r="J15" s="315" t="s">
        <v>244</v>
      </c>
      <c r="K15" s="315" t="s">
        <v>244</v>
      </c>
      <c r="L15" s="315" t="s">
        <v>244</v>
      </c>
      <c r="M15" s="315" t="s">
        <v>244</v>
      </c>
      <c r="N15" s="315" t="s">
        <v>244</v>
      </c>
      <c r="O15" s="315" t="s">
        <v>244</v>
      </c>
      <c r="P15" s="315" t="s">
        <v>244</v>
      </c>
      <c r="Q15" s="315" t="s">
        <v>244</v>
      </c>
      <c r="R15" s="315" t="s">
        <v>244</v>
      </c>
      <c r="S15" s="315" t="s">
        <v>244</v>
      </c>
    </row>
    <row r="16" spans="1:19">
      <c r="A16" s="313" t="s">
        <v>244</v>
      </c>
      <c r="B16" s="313" t="s">
        <v>244</v>
      </c>
      <c r="C16" s="313" t="s">
        <v>244</v>
      </c>
      <c r="D16" s="313" t="s">
        <v>244</v>
      </c>
      <c r="E16" s="313" t="s">
        <v>244</v>
      </c>
      <c r="F16" s="314" t="s">
        <v>244</v>
      </c>
      <c r="G16" s="315" t="s">
        <v>244</v>
      </c>
      <c r="H16" s="315" t="s">
        <v>244</v>
      </c>
      <c r="I16" s="315" t="s">
        <v>244</v>
      </c>
      <c r="J16" s="315" t="s">
        <v>244</v>
      </c>
      <c r="K16" s="315" t="s">
        <v>244</v>
      </c>
      <c r="L16" s="315" t="s">
        <v>244</v>
      </c>
      <c r="M16" s="315" t="s">
        <v>244</v>
      </c>
      <c r="N16" s="315" t="s">
        <v>244</v>
      </c>
      <c r="O16" s="315" t="s">
        <v>244</v>
      </c>
      <c r="P16" s="315" t="s">
        <v>244</v>
      </c>
      <c r="Q16" s="315" t="s">
        <v>244</v>
      </c>
      <c r="R16" s="315" t="s">
        <v>244</v>
      </c>
      <c r="S16" s="315" t="s">
        <v>244</v>
      </c>
    </row>
    <row r="17" spans="1:19">
      <c r="A17" s="313" t="s">
        <v>244</v>
      </c>
      <c r="B17" s="313" t="s">
        <v>244</v>
      </c>
      <c r="C17" s="313" t="s">
        <v>244</v>
      </c>
      <c r="D17" s="313" t="s">
        <v>244</v>
      </c>
      <c r="E17" s="313" t="s">
        <v>244</v>
      </c>
      <c r="F17" s="314" t="s">
        <v>244</v>
      </c>
      <c r="G17" s="315" t="s">
        <v>244</v>
      </c>
      <c r="H17" s="315" t="s">
        <v>244</v>
      </c>
      <c r="I17" s="315" t="s">
        <v>244</v>
      </c>
      <c r="J17" s="315" t="s">
        <v>244</v>
      </c>
      <c r="K17" s="315" t="s">
        <v>244</v>
      </c>
      <c r="L17" s="315" t="s">
        <v>244</v>
      </c>
      <c r="M17" s="315" t="s">
        <v>244</v>
      </c>
      <c r="N17" s="315" t="s">
        <v>244</v>
      </c>
      <c r="O17" s="315" t="s">
        <v>244</v>
      </c>
      <c r="P17" s="315" t="s">
        <v>244</v>
      </c>
      <c r="Q17" s="315" t="s">
        <v>244</v>
      </c>
      <c r="R17" s="315" t="s">
        <v>244</v>
      </c>
      <c r="S17" s="315" t="s">
        <v>244</v>
      </c>
    </row>
    <row r="18" spans="1:19">
      <c r="A18" s="313" t="s">
        <v>244</v>
      </c>
      <c r="B18" s="313" t="s">
        <v>244</v>
      </c>
      <c r="C18" s="313" t="s">
        <v>244</v>
      </c>
      <c r="D18" s="313" t="s">
        <v>244</v>
      </c>
      <c r="E18" s="313" t="s">
        <v>244</v>
      </c>
      <c r="F18" s="314" t="s">
        <v>244</v>
      </c>
      <c r="G18" s="315" t="s">
        <v>244</v>
      </c>
      <c r="H18" s="315" t="s">
        <v>244</v>
      </c>
      <c r="I18" s="315" t="s">
        <v>244</v>
      </c>
      <c r="J18" s="315" t="s">
        <v>244</v>
      </c>
      <c r="K18" s="315" t="s">
        <v>244</v>
      </c>
      <c r="L18" s="315" t="s">
        <v>244</v>
      </c>
      <c r="M18" s="315" t="s">
        <v>244</v>
      </c>
      <c r="N18" s="315" t="s">
        <v>244</v>
      </c>
      <c r="O18" s="315" t="s">
        <v>244</v>
      </c>
      <c r="P18" s="315" t="s">
        <v>244</v>
      </c>
      <c r="Q18" s="315" t="s">
        <v>244</v>
      </c>
      <c r="R18" s="315" t="s">
        <v>244</v>
      </c>
      <c r="S18" s="315" t="s">
        <v>244</v>
      </c>
    </row>
    <row r="19" spans="1:19">
      <c r="A19" s="313" t="s">
        <v>244</v>
      </c>
      <c r="B19" s="313" t="s">
        <v>244</v>
      </c>
      <c r="C19" s="313" t="s">
        <v>244</v>
      </c>
      <c r="D19" s="313" t="s">
        <v>244</v>
      </c>
      <c r="E19" s="313" t="s">
        <v>244</v>
      </c>
      <c r="F19" s="316" t="s">
        <v>504</v>
      </c>
      <c r="G19" s="315" t="s">
        <v>244</v>
      </c>
      <c r="H19" s="315" t="s">
        <v>244</v>
      </c>
      <c r="I19" s="315" t="s">
        <v>244</v>
      </c>
      <c r="J19" s="315" t="s">
        <v>244</v>
      </c>
      <c r="K19" s="315" t="s">
        <v>244</v>
      </c>
      <c r="L19" s="315" t="s">
        <v>244</v>
      </c>
      <c r="M19" s="315" t="s">
        <v>244</v>
      </c>
      <c r="N19" s="315" t="s">
        <v>244</v>
      </c>
      <c r="O19" s="315" t="s">
        <v>244</v>
      </c>
      <c r="P19" s="315" t="s">
        <v>244</v>
      </c>
      <c r="Q19" s="315" t="s">
        <v>244</v>
      </c>
      <c r="R19" s="315" t="s">
        <v>244</v>
      </c>
      <c r="S19" s="315" t="s">
        <v>244</v>
      </c>
    </row>
    <row r="20" spans="1:19">
      <c r="A20" s="313" t="s">
        <v>244</v>
      </c>
      <c r="B20" s="313" t="s">
        <v>244</v>
      </c>
      <c r="C20" s="313" t="s">
        <v>244</v>
      </c>
      <c r="D20" s="313" t="s">
        <v>244</v>
      </c>
      <c r="E20" s="313" t="s">
        <v>244</v>
      </c>
      <c r="F20" s="314" t="s">
        <v>244</v>
      </c>
      <c r="G20" s="315" t="s">
        <v>244</v>
      </c>
      <c r="H20" s="315" t="s">
        <v>244</v>
      </c>
      <c r="I20" s="315" t="s">
        <v>244</v>
      </c>
      <c r="J20" s="315" t="s">
        <v>244</v>
      </c>
      <c r="K20" s="315" t="s">
        <v>244</v>
      </c>
      <c r="L20" s="315" t="s">
        <v>244</v>
      </c>
      <c r="M20" s="315" t="s">
        <v>244</v>
      </c>
      <c r="N20" s="315" t="s">
        <v>244</v>
      </c>
      <c r="O20" s="315" t="s">
        <v>244</v>
      </c>
      <c r="P20" s="315" t="s">
        <v>244</v>
      </c>
      <c r="Q20" s="315" t="s">
        <v>244</v>
      </c>
      <c r="R20" s="315" t="s">
        <v>244</v>
      </c>
      <c r="S20" s="315" t="s">
        <v>244</v>
      </c>
    </row>
    <row r="21" spans="1:19">
      <c r="A21" s="313" t="s">
        <v>244</v>
      </c>
      <c r="B21" s="313" t="s">
        <v>244</v>
      </c>
      <c r="C21" s="313" t="s">
        <v>244</v>
      </c>
      <c r="D21" s="313" t="s">
        <v>244</v>
      </c>
      <c r="E21" s="313" t="s">
        <v>244</v>
      </c>
      <c r="F21" s="314" t="s">
        <v>244</v>
      </c>
      <c r="G21" s="315" t="s">
        <v>244</v>
      </c>
      <c r="H21" s="315" t="s">
        <v>244</v>
      </c>
      <c r="I21" s="315" t="s">
        <v>244</v>
      </c>
      <c r="J21" s="315" t="s">
        <v>244</v>
      </c>
      <c r="K21" s="315" t="s">
        <v>244</v>
      </c>
      <c r="L21" s="315" t="s">
        <v>244</v>
      </c>
      <c r="M21" s="315" t="s">
        <v>244</v>
      </c>
      <c r="N21" s="315" t="s">
        <v>244</v>
      </c>
      <c r="O21" s="315" t="s">
        <v>244</v>
      </c>
      <c r="P21" s="315" t="s">
        <v>244</v>
      </c>
      <c r="Q21" s="315" t="s">
        <v>244</v>
      </c>
      <c r="R21" s="315" t="s">
        <v>244</v>
      </c>
      <c r="S21" s="315" t="s">
        <v>244</v>
      </c>
    </row>
    <row r="22" spans="1:19" ht="15.75" thickBot="1">
      <c r="A22" s="313" t="s">
        <v>244</v>
      </c>
      <c r="B22" s="313" t="s">
        <v>244</v>
      </c>
      <c r="C22" s="313" t="s">
        <v>244</v>
      </c>
      <c r="D22" s="313" t="s">
        <v>244</v>
      </c>
      <c r="E22" s="313" t="s">
        <v>244</v>
      </c>
      <c r="F22" s="314" t="s">
        <v>244</v>
      </c>
      <c r="G22" s="315" t="s">
        <v>244</v>
      </c>
      <c r="H22" s="315" t="s">
        <v>244</v>
      </c>
      <c r="I22" s="315" t="s">
        <v>244</v>
      </c>
      <c r="J22" s="315" t="s">
        <v>244</v>
      </c>
      <c r="K22" s="315" t="s">
        <v>244</v>
      </c>
      <c r="L22" s="315" t="s">
        <v>244</v>
      </c>
      <c r="M22" s="315" t="s">
        <v>244</v>
      </c>
      <c r="N22" s="315" t="s">
        <v>244</v>
      </c>
      <c r="O22" s="315" t="s">
        <v>244</v>
      </c>
      <c r="P22" s="315" t="s">
        <v>244</v>
      </c>
      <c r="Q22" s="315" t="s">
        <v>244</v>
      </c>
      <c r="R22" s="315" t="s">
        <v>244</v>
      </c>
      <c r="S22" s="315" t="s">
        <v>244</v>
      </c>
    </row>
    <row r="23" spans="1:19" ht="15.75" thickBot="1">
      <c r="A23" s="517" t="s">
        <v>542</v>
      </c>
      <c r="B23" s="518"/>
      <c r="C23" s="519"/>
      <c r="D23" s="520"/>
      <c r="E23" s="521"/>
      <c r="F23" s="522"/>
      <c r="G23" s="315" t="s">
        <v>244</v>
      </c>
      <c r="H23" s="315" t="s">
        <v>244</v>
      </c>
      <c r="I23" s="315" t="s">
        <v>244</v>
      </c>
      <c r="J23" s="315" t="s">
        <v>244</v>
      </c>
      <c r="K23" s="315" t="s">
        <v>244</v>
      </c>
      <c r="L23" s="315" t="s">
        <v>244</v>
      </c>
      <c r="M23" s="315" t="s">
        <v>244</v>
      </c>
      <c r="N23" s="315" t="s">
        <v>244</v>
      </c>
      <c r="O23" s="315" t="s">
        <v>244</v>
      </c>
      <c r="P23" s="315" t="s">
        <v>244</v>
      </c>
      <c r="Q23" s="315" t="s">
        <v>244</v>
      </c>
      <c r="R23" s="315" t="s">
        <v>244</v>
      </c>
      <c r="S23" s="315" t="s">
        <v>244</v>
      </c>
    </row>
    <row r="25" spans="1:19" ht="47.25" customHeight="1">
      <c r="A25" s="513" t="s">
        <v>543</v>
      </c>
      <c r="B25" s="514"/>
      <c r="C25" s="514"/>
      <c r="D25" s="514"/>
      <c r="E25" s="514"/>
      <c r="F25" s="514"/>
      <c r="G25" s="514"/>
      <c r="H25" s="514"/>
      <c r="I25" s="514"/>
      <c r="J25" s="514"/>
      <c r="K25" s="514"/>
      <c r="L25" s="514"/>
      <c r="M25" s="515"/>
    </row>
    <row r="26" spans="1:19" ht="15.75">
      <c r="A26" s="317" t="s">
        <v>544</v>
      </c>
      <c r="B26" s="318"/>
      <c r="C26" s="318"/>
      <c r="D26" s="318"/>
      <c r="E26" s="318"/>
      <c r="F26" s="318"/>
      <c r="G26" s="318"/>
      <c r="H26" s="318"/>
      <c r="I26" s="318"/>
      <c r="J26" s="318"/>
      <c r="K26" s="318"/>
      <c r="L26" s="318"/>
      <c r="M26" s="318"/>
    </row>
    <row r="27" spans="1:19" ht="15.75">
      <c r="A27" s="317" t="s">
        <v>545</v>
      </c>
      <c r="B27" s="318"/>
      <c r="C27" s="318"/>
      <c r="D27" s="318"/>
      <c r="E27" s="318"/>
      <c r="F27" s="318"/>
      <c r="G27" s="318"/>
      <c r="H27" s="318"/>
      <c r="I27" s="318"/>
      <c r="J27" s="318"/>
      <c r="K27" s="318"/>
      <c r="L27" s="318"/>
      <c r="M27" s="318"/>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7"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topLeftCell="A10" zoomScale="70" zoomScaleNormal="70" zoomScaleSheetLayoutView="70" workbookViewId="0">
      <selection activeCell="A19" sqref="A19:XFD22"/>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391" t="s">
        <v>9</v>
      </c>
      <c r="B3" s="391"/>
      <c r="C3" s="391"/>
      <c r="D3" s="391"/>
      <c r="E3" s="391"/>
      <c r="F3" s="391"/>
      <c r="G3" s="391"/>
      <c r="H3" s="391"/>
      <c r="I3" s="391"/>
      <c r="J3" s="391"/>
      <c r="K3" s="391"/>
      <c r="L3" s="391"/>
      <c r="M3" s="391"/>
      <c r="N3" s="391"/>
      <c r="O3" s="391"/>
      <c r="P3" s="391"/>
      <c r="Q3" s="391"/>
      <c r="R3" s="391"/>
      <c r="S3" s="391"/>
      <c r="T3" s="11"/>
      <c r="U3" s="11"/>
      <c r="V3" s="11"/>
      <c r="W3" s="11"/>
      <c r="X3" s="11"/>
      <c r="Y3" s="11"/>
      <c r="Z3" s="11"/>
      <c r="AA3" s="11"/>
      <c r="AB3" s="11"/>
    </row>
    <row r="4" spans="1:28" s="10" customFormat="1" ht="18.75">
      <c r="A4" s="391"/>
      <c r="B4" s="391"/>
      <c r="C4" s="391"/>
      <c r="D4" s="391"/>
      <c r="E4" s="391"/>
      <c r="F4" s="391"/>
      <c r="G4" s="391"/>
      <c r="H4" s="391"/>
      <c r="I4" s="391"/>
      <c r="J4" s="391"/>
      <c r="K4" s="391"/>
      <c r="L4" s="391"/>
      <c r="M4" s="391"/>
      <c r="N4" s="391"/>
      <c r="O4" s="391"/>
      <c r="P4" s="391"/>
      <c r="Q4" s="391"/>
      <c r="R4" s="391"/>
      <c r="S4" s="391"/>
      <c r="T4" s="11"/>
      <c r="U4" s="11"/>
      <c r="V4" s="11"/>
      <c r="W4" s="11"/>
      <c r="X4" s="11"/>
      <c r="Y4" s="11"/>
      <c r="Z4" s="11"/>
      <c r="AA4" s="11"/>
      <c r="AB4" s="11"/>
    </row>
    <row r="5" spans="1:28" s="10" customFormat="1" ht="18.75">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11"/>
      <c r="U5" s="11"/>
      <c r="V5" s="11"/>
      <c r="W5" s="11"/>
      <c r="X5" s="11"/>
      <c r="Y5" s="11"/>
      <c r="Z5" s="11"/>
      <c r="AA5" s="11"/>
      <c r="AB5" s="11"/>
    </row>
    <row r="6" spans="1:28" s="10" customFormat="1" ht="18.75">
      <c r="A6" s="389" t="s">
        <v>8</v>
      </c>
      <c r="B6" s="389"/>
      <c r="C6" s="389"/>
      <c r="D6" s="389"/>
      <c r="E6" s="389"/>
      <c r="F6" s="389"/>
      <c r="G6" s="389"/>
      <c r="H6" s="389"/>
      <c r="I6" s="389"/>
      <c r="J6" s="389"/>
      <c r="K6" s="389"/>
      <c r="L6" s="389"/>
      <c r="M6" s="389"/>
      <c r="N6" s="389"/>
      <c r="O6" s="389"/>
      <c r="P6" s="389"/>
      <c r="Q6" s="389"/>
      <c r="R6" s="389"/>
      <c r="S6" s="389"/>
      <c r="T6" s="11"/>
      <c r="U6" s="11"/>
      <c r="V6" s="11"/>
      <c r="W6" s="11"/>
      <c r="X6" s="11"/>
      <c r="Y6" s="11"/>
      <c r="Z6" s="11"/>
      <c r="AA6" s="11"/>
      <c r="AB6" s="11"/>
    </row>
    <row r="7" spans="1:28" s="10" customFormat="1" ht="18.75">
      <c r="A7" s="391"/>
      <c r="B7" s="391"/>
      <c r="C7" s="391"/>
      <c r="D7" s="391"/>
      <c r="E7" s="391"/>
      <c r="F7" s="391"/>
      <c r="G7" s="391"/>
      <c r="H7" s="391"/>
      <c r="I7" s="391"/>
      <c r="J7" s="391"/>
      <c r="K7" s="391"/>
      <c r="L7" s="391"/>
      <c r="M7" s="391"/>
      <c r="N7" s="391"/>
      <c r="O7" s="391"/>
      <c r="P7" s="391"/>
      <c r="Q7" s="391"/>
      <c r="R7" s="391"/>
      <c r="S7" s="391"/>
      <c r="T7" s="11"/>
      <c r="U7" s="11"/>
      <c r="V7" s="11"/>
      <c r="W7" s="11"/>
      <c r="X7" s="11"/>
      <c r="Y7" s="11"/>
      <c r="Z7" s="11"/>
      <c r="AA7" s="11"/>
      <c r="AB7" s="11"/>
    </row>
    <row r="8" spans="1:28" s="10" customFormat="1" ht="18.75">
      <c r="A8" s="395" t="str">
        <f>' 1. паспорт местополож'!A8:C8</f>
        <v>J_ДВОСТ-149</v>
      </c>
      <c r="B8" s="395"/>
      <c r="C8" s="395"/>
      <c r="D8" s="395"/>
      <c r="E8" s="395"/>
      <c r="F8" s="395"/>
      <c r="G8" s="395"/>
      <c r="H8" s="395"/>
      <c r="I8" s="395"/>
      <c r="J8" s="395"/>
      <c r="K8" s="395"/>
      <c r="L8" s="395"/>
      <c r="M8" s="395"/>
      <c r="N8" s="395"/>
      <c r="O8" s="395"/>
      <c r="P8" s="395"/>
      <c r="Q8" s="395"/>
      <c r="R8" s="395"/>
      <c r="S8" s="395"/>
      <c r="T8" s="11"/>
      <c r="U8" s="11"/>
      <c r="V8" s="11"/>
      <c r="W8" s="11"/>
      <c r="X8" s="11"/>
      <c r="Y8" s="11"/>
      <c r="Z8" s="11"/>
      <c r="AA8" s="11"/>
      <c r="AB8" s="11"/>
    </row>
    <row r="9" spans="1:28" s="10" customFormat="1" ht="18.75">
      <c r="A9" s="389" t="s">
        <v>7</v>
      </c>
      <c r="B9" s="389"/>
      <c r="C9" s="389"/>
      <c r="D9" s="389"/>
      <c r="E9" s="389"/>
      <c r="F9" s="389"/>
      <c r="G9" s="389"/>
      <c r="H9" s="389"/>
      <c r="I9" s="389"/>
      <c r="J9" s="389"/>
      <c r="K9" s="389"/>
      <c r="L9" s="389"/>
      <c r="M9" s="389"/>
      <c r="N9" s="389"/>
      <c r="O9" s="389"/>
      <c r="P9" s="389"/>
      <c r="Q9" s="389"/>
      <c r="R9" s="389"/>
      <c r="S9" s="38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95" t="str">
        <f>' 1. паспорт местополож'!A11:C11</f>
        <v xml:space="preserve">Техническое перевооружение объекта "Оборудование кТП-15" ТП-15. </v>
      </c>
      <c r="B11" s="395"/>
      <c r="C11" s="395"/>
      <c r="D11" s="395"/>
      <c r="E11" s="395"/>
      <c r="F11" s="395"/>
      <c r="G11" s="395"/>
      <c r="H11" s="395"/>
      <c r="I11" s="395"/>
      <c r="J11" s="395"/>
      <c r="K11" s="395"/>
      <c r="L11" s="395"/>
      <c r="M11" s="395"/>
      <c r="N11" s="395"/>
      <c r="O11" s="395"/>
      <c r="P11" s="395"/>
      <c r="Q11" s="395"/>
      <c r="R11" s="395"/>
      <c r="S11" s="395"/>
      <c r="T11" s="6"/>
      <c r="U11" s="6"/>
      <c r="V11" s="6"/>
      <c r="W11" s="6"/>
      <c r="X11" s="6"/>
      <c r="Y11" s="6"/>
      <c r="Z11" s="6"/>
      <c r="AA11" s="6"/>
      <c r="AB11" s="6"/>
    </row>
    <row r="12" spans="1:28" s="2" customFormat="1" ht="15" customHeight="1">
      <c r="A12" s="389" t="s">
        <v>5</v>
      </c>
      <c r="B12" s="389"/>
      <c r="C12" s="389"/>
      <c r="D12" s="389"/>
      <c r="E12" s="389"/>
      <c r="F12" s="389"/>
      <c r="G12" s="389"/>
      <c r="H12" s="389"/>
      <c r="I12" s="389"/>
      <c r="J12" s="389"/>
      <c r="K12" s="389"/>
      <c r="L12" s="389"/>
      <c r="M12" s="389"/>
      <c r="N12" s="389"/>
      <c r="O12" s="389"/>
      <c r="P12" s="389"/>
      <c r="Q12" s="389"/>
      <c r="R12" s="389"/>
      <c r="S12" s="389"/>
      <c r="T12" s="4"/>
      <c r="U12" s="4"/>
      <c r="V12" s="4"/>
      <c r="W12" s="4"/>
      <c r="X12" s="4"/>
      <c r="Y12" s="4"/>
      <c r="Z12" s="4"/>
      <c r="AA12" s="4"/>
      <c r="AB12" s="4"/>
    </row>
    <row r="13" spans="1:28" s="2" customFormat="1" ht="15" customHeight="1">
      <c r="A13" s="389"/>
      <c r="B13" s="389"/>
      <c r="C13" s="389"/>
      <c r="D13" s="389"/>
      <c r="E13" s="389"/>
      <c r="F13" s="389"/>
      <c r="G13" s="389"/>
      <c r="H13" s="389"/>
      <c r="I13" s="389"/>
      <c r="J13" s="389"/>
      <c r="K13" s="389"/>
      <c r="L13" s="389"/>
      <c r="M13" s="389"/>
      <c r="N13" s="389"/>
      <c r="O13" s="389"/>
      <c r="P13" s="389"/>
      <c r="Q13" s="389"/>
      <c r="R13" s="389"/>
      <c r="S13" s="389"/>
      <c r="T13" s="3"/>
      <c r="U13" s="3"/>
      <c r="V13" s="3"/>
      <c r="W13" s="3"/>
      <c r="X13" s="3"/>
      <c r="Y13" s="3"/>
    </row>
    <row r="14" spans="1:28" s="2" customFormat="1" ht="43.5" customHeight="1">
      <c r="A14" s="390" t="s">
        <v>195</v>
      </c>
      <c r="B14" s="390"/>
      <c r="C14" s="390"/>
      <c r="D14" s="390"/>
      <c r="E14" s="390"/>
      <c r="F14" s="390"/>
      <c r="G14" s="390"/>
      <c r="H14" s="390"/>
      <c r="I14" s="390"/>
      <c r="J14" s="390"/>
      <c r="K14" s="390"/>
      <c r="L14" s="390"/>
      <c r="M14" s="390"/>
      <c r="N14" s="390"/>
      <c r="O14" s="390"/>
      <c r="P14" s="390"/>
      <c r="Q14" s="390"/>
      <c r="R14" s="390"/>
      <c r="S14" s="390"/>
      <c r="T14" s="5"/>
      <c r="U14" s="5"/>
      <c r="V14" s="5"/>
      <c r="W14" s="5"/>
      <c r="X14" s="5"/>
      <c r="Y14" s="5"/>
      <c r="Z14" s="5"/>
      <c r="AA14" s="5"/>
      <c r="AB14" s="5"/>
    </row>
    <row r="15" spans="1:28" s="2" customFormat="1" ht="15" customHeight="1">
      <c r="A15" s="396"/>
      <c r="B15" s="396"/>
      <c r="C15" s="396"/>
      <c r="D15" s="396"/>
      <c r="E15" s="396"/>
      <c r="F15" s="396"/>
      <c r="G15" s="396"/>
      <c r="H15" s="396"/>
      <c r="I15" s="396"/>
      <c r="J15" s="396"/>
      <c r="K15" s="396"/>
      <c r="L15" s="396"/>
      <c r="M15" s="396"/>
      <c r="N15" s="396"/>
      <c r="O15" s="396"/>
      <c r="P15" s="396"/>
      <c r="Q15" s="396"/>
      <c r="R15" s="396"/>
      <c r="S15" s="396"/>
      <c r="T15" s="3"/>
      <c r="U15" s="3"/>
      <c r="V15" s="3"/>
      <c r="W15" s="3"/>
      <c r="X15" s="3"/>
      <c r="Y15" s="3"/>
    </row>
    <row r="16" spans="1:28" s="2" customFormat="1" ht="78" customHeight="1">
      <c r="A16" s="398" t="s">
        <v>4</v>
      </c>
      <c r="B16" s="397" t="s">
        <v>54</v>
      </c>
      <c r="C16" s="399" t="s">
        <v>142</v>
      </c>
      <c r="D16" s="397" t="s">
        <v>141</v>
      </c>
      <c r="E16" s="397" t="s">
        <v>53</v>
      </c>
      <c r="F16" s="397" t="s">
        <v>52</v>
      </c>
      <c r="G16" s="397" t="s">
        <v>137</v>
      </c>
      <c r="H16" s="397" t="s">
        <v>51</v>
      </c>
      <c r="I16" s="397" t="s">
        <v>50</v>
      </c>
      <c r="J16" s="397" t="s">
        <v>49</v>
      </c>
      <c r="K16" s="397" t="s">
        <v>48</v>
      </c>
      <c r="L16" s="397" t="s">
        <v>47</v>
      </c>
      <c r="M16" s="397" t="s">
        <v>46</v>
      </c>
      <c r="N16" s="397" t="s">
        <v>45</v>
      </c>
      <c r="O16" s="397" t="s">
        <v>44</v>
      </c>
      <c r="P16" s="397" t="s">
        <v>43</v>
      </c>
      <c r="Q16" s="397" t="s">
        <v>140</v>
      </c>
      <c r="R16" s="397"/>
      <c r="S16" s="397" t="s">
        <v>189</v>
      </c>
      <c r="T16" s="3"/>
      <c r="U16" s="3"/>
      <c r="V16" s="3"/>
      <c r="W16" s="3"/>
      <c r="X16" s="3"/>
      <c r="Y16" s="3"/>
    </row>
    <row r="17" spans="1:28" s="2" customFormat="1" ht="256.5" customHeight="1">
      <c r="A17" s="398"/>
      <c r="B17" s="397"/>
      <c r="C17" s="400"/>
      <c r="D17" s="397"/>
      <c r="E17" s="397"/>
      <c r="F17" s="397"/>
      <c r="G17" s="397"/>
      <c r="H17" s="397"/>
      <c r="I17" s="397"/>
      <c r="J17" s="397"/>
      <c r="K17" s="397"/>
      <c r="L17" s="397"/>
      <c r="M17" s="397"/>
      <c r="N17" s="397"/>
      <c r="O17" s="397"/>
      <c r="P17" s="397"/>
      <c r="Q17" s="79" t="s">
        <v>138</v>
      </c>
      <c r="R17" s="80" t="s">
        <v>139</v>
      </c>
      <c r="S17" s="397"/>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244</v>
      </c>
      <c r="B19" s="25" t="s">
        <v>244</v>
      </c>
      <c r="C19" s="25" t="s">
        <v>244</v>
      </c>
      <c r="D19" s="25" t="s">
        <v>244</v>
      </c>
      <c r="E19" s="25" t="s">
        <v>244</v>
      </c>
      <c r="F19" s="25" t="s">
        <v>244</v>
      </c>
      <c r="G19" s="25" t="s">
        <v>244</v>
      </c>
      <c r="H19" s="109" t="s">
        <v>244</v>
      </c>
      <c r="I19" s="109" t="s">
        <v>244</v>
      </c>
      <c r="J19" s="109" t="s">
        <v>244</v>
      </c>
      <c r="K19" s="109" t="s">
        <v>244</v>
      </c>
      <c r="L19" s="109" t="s">
        <v>244</v>
      </c>
      <c r="M19" s="109" t="s">
        <v>244</v>
      </c>
      <c r="N19" s="109" t="s">
        <v>244</v>
      </c>
      <c r="O19" s="109" t="s">
        <v>244</v>
      </c>
      <c r="P19" s="109" t="s">
        <v>244</v>
      </c>
      <c r="Q19" s="109" t="s">
        <v>244</v>
      </c>
      <c r="R19" s="59" t="s">
        <v>244</v>
      </c>
      <c r="S19" s="59" t="s">
        <v>244</v>
      </c>
      <c r="T19" s="18"/>
      <c r="U19" s="18"/>
      <c r="V19" s="18"/>
      <c r="W19" s="18"/>
      <c r="X19" s="17"/>
      <c r="Y19" s="17"/>
      <c r="Z19" s="17"/>
      <c r="AA19" s="17"/>
      <c r="AB19" s="17"/>
    </row>
    <row r="20" spans="1:28" s="2" customFormat="1" ht="18.75">
      <c r="A20" s="110"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9" t="s">
        <v>244</v>
      </c>
      <c r="S20" s="59" t="s">
        <v>244</v>
      </c>
      <c r="T20" s="18"/>
      <c r="U20" s="18"/>
      <c r="V20" s="18"/>
      <c r="W20" s="18"/>
      <c r="X20" s="17"/>
      <c r="Y20" s="17"/>
      <c r="Z20" s="17"/>
      <c r="AA20" s="17"/>
      <c r="AB20" s="17"/>
    </row>
    <row r="21" spans="1:28" s="2" customFormat="1" ht="18.75">
      <c r="A21" s="109" t="s">
        <v>244</v>
      </c>
      <c r="B21" s="109" t="s">
        <v>244</v>
      </c>
      <c r="C21" s="109" t="s">
        <v>244</v>
      </c>
      <c r="D21" s="109" t="s">
        <v>244</v>
      </c>
      <c r="E21" s="109" t="s">
        <v>244</v>
      </c>
      <c r="F21" s="109" t="s">
        <v>244</v>
      </c>
      <c r="G21" s="109" t="s">
        <v>244</v>
      </c>
      <c r="H21" s="109" t="s">
        <v>244</v>
      </c>
      <c r="I21" s="109" t="s">
        <v>244</v>
      </c>
      <c r="J21" s="109" t="s">
        <v>244</v>
      </c>
      <c r="K21" s="109" t="s">
        <v>244</v>
      </c>
      <c r="L21" s="109" t="s">
        <v>244</v>
      </c>
      <c r="M21" s="109" t="s">
        <v>244</v>
      </c>
      <c r="N21" s="109" t="s">
        <v>244</v>
      </c>
      <c r="O21" s="109" t="s">
        <v>244</v>
      </c>
      <c r="P21" s="109" t="s">
        <v>244</v>
      </c>
      <c r="Q21" s="109" t="s">
        <v>244</v>
      </c>
      <c r="R21" s="59" t="s">
        <v>244</v>
      </c>
      <c r="S21" s="59" t="s">
        <v>244</v>
      </c>
      <c r="T21" s="18"/>
      <c r="U21" s="18"/>
      <c r="V21" s="18"/>
      <c r="W21" s="18"/>
      <c r="X21" s="17"/>
      <c r="Y21" s="17"/>
      <c r="Z21" s="17"/>
      <c r="AA21" s="17"/>
      <c r="AB21" s="17"/>
    </row>
    <row r="22" spans="1:28" s="78" customFormat="1" ht="15.75">
      <c r="A22" s="75" t="s">
        <v>244</v>
      </c>
      <c r="B22" s="25" t="s">
        <v>244</v>
      </c>
      <c r="C22" s="25" t="s">
        <v>244</v>
      </c>
      <c r="D22" s="25" t="s">
        <v>244</v>
      </c>
      <c r="E22" s="75" t="s">
        <v>244</v>
      </c>
      <c r="F22" s="75" t="s">
        <v>244</v>
      </c>
      <c r="G22" s="75" t="s">
        <v>244</v>
      </c>
      <c r="H22" s="75" t="s">
        <v>244</v>
      </c>
      <c r="I22" s="75" t="s">
        <v>244</v>
      </c>
      <c r="J22" s="75" t="s">
        <v>244</v>
      </c>
      <c r="K22" s="75" t="s">
        <v>244</v>
      </c>
      <c r="L22" s="75" t="s">
        <v>244</v>
      </c>
      <c r="M22" s="75" t="s">
        <v>244</v>
      </c>
      <c r="N22" s="75" t="s">
        <v>244</v>
      </c>
      <c r="O22" s="75" t="s">
        <v>244</v>
      </c>
      <c r="P22" s="75" t="s">
        <v>244</v>
      </c>
      <c r="Q22" s="76" t="s">
        <v>244</v>
      </c>
      <c r="R22" s="111" t="s">
        <v>244</v>
      </c>
      <c r="S22" s="111" t="s">
        <v>244</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3"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topLeftCell="A9" zoomScale="85" zoomScaleNormal="60" zoomScaleSheetLayoutView="85" workbookViewId="0">
      <selection activeCell="H21" sqref="H21"/>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row>
    <row r="2" spans="1:20" s="10" customFormat="1">
      <c r="A2" s="15"/>
      <c r="H2" s="14"/>
    </row>
    <row r="3" spans="1:20" s="10" customFormat="1">
      <c r="A3" s="391" t="s">
        <v>9</v>
      </c>
      <c r="B3" s="391"/>
      <c r="C3" s="391"/>
      <c r="D3" s="391"/>
      <c r="E3" s="391"/>
      <c r="F3" s="391"/>
      <c r="G3" s="391"/>
      <c r="H3" s="391"/>
      <c r="I3" s="391"/>
      <c r="J3" s="391"/>
      <c r="K3" s="391"/>
      <c r="L3" s="391"/>
      <c r="M3" s="391"/>
      <c r="N3" s="391"/>
      <c r="O3" s="391"/>
      <c r="P3" s="391"/>
      <c r="Q3" s="391"/>
      <c r="R3" s="391"/>
      <c r="S3" s="391"/>
      <c r="T3" s="391"/>
    </row>
    <row r="4" spans="1:20" s="10" customFormat="1">
      <c r="A4" s="391"/>
      <c r="B4" s="391"/>
      <c r="C4" s="391"/>
      <c r="D4" s="391"/>
      <c r="E4" s="391"/>
      <c r="F4" s="391"/>
      <c r="G4" s="391"/>
      <c r="H4" s="391"/>
      <c r="I4" s="391"/>
      <c r="J4" s="391"/>
      <c r="K4" s="391"/>
      <c r="L4" s="391"/>
      <c r="M4" s="391"/>
      <c r="N4" s="391"/>
      <c r="O4" s="391"/>
      <c r="P4" s="391"/>
      <c r="Q4" s="391"/>
      <c r="R4" s="391"/>
      <c r="S4" s="391"/>
      <c r="T4" s="391"/>
    </row>
    <row r="5" spans="1:20" s="10" customFormat="1" ht="18.75" customHeight="1">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395"/>
    </row>
    <row r="6" spans="1:20" s="10" customFormat="1" ht="18.75" customHeight="1">
      <c r="A6" s="389" t="s">
        <v>8</v>
      </c>
      <c r="B6" s="389"/>
      <c r="C6" s="389"/>
      <c r="D6" s="389"/>
      <c r="E6" s="389"/>
      <c r="F6" s="389"/>
      <c r="G6" s="389"/>
      <c r="H6" s="389"/>
      <c r="I6" s="389"/>
      <c r="J6" s="389"/>
      <c r="K6" s="389"/>
      <c r="L6" s="389"/>
      <c r="M6" s="389"/>
      <c r="N6" s="389"/>
      <c r="O6" s="389"/>
      <c r="P6" s="389"/>
      <c r="Q6" s="389"/>
      <c r="R6" s="389"/>
      <c r="S6" s="389"/>
      <c r="T6" s="389"/>
    </row>
    <row r="7" spans="1:20" s="10" customFormat="1">
      <c r="A7" s="391"/>
      <c r="B7" s="391"/>
      <c r="C7" s="391"/>
      <c r="D7" s="391"/>
      <c r="E7" s="391"/>
      <c r="F7" s="391"/>
      <c r="G7" s="391"/>
      <c r="H7" s="391"/>
      <c r="I7" s="391"/>
      <c r="J7" s="391"/>
      <c r="K7" s="391"/>
      <c r="L7" s="391"/>
      <c r="M7" s="391"/>
      <c r="N7" s="391"/>
      <c r="O7" s="391"/>
      <c r="P7" s="391"/>
      <c r="Q7" s="391"/>
      <c r="R7" s="391"/>
      <c r="S7" s="391"/>
      <c r="T7" s="391"/>
    </row>
    <row r="8" spans="1:20" s="10" customFormat="1" ht="18.75" customHeight="1">
      <c r="A8" s="395" t="str">
        <f>' 1. паспорт местополож'!A8:C8</f>
        <v>J_ДВОСТ-149</v>
      </c>
      <c r="B8" s="395"/>
      <c r="C8" s="395"/>
      <c r="D8" s="395"/>
      <c r="E8" s="395"/>
      <c r="F8" s="395"/>
      <c r="G8" s="395"/>
      <c r="H8" s="395"/>
      <c r="I8" s="395"/>
      <c r="J8" s="395"/>
      <c r="K8" s="395"/>
      <c r="L8" s="395"/>
      <c r="M8" s="395"/>
      <c r="N8" s="395"/>
      <c r="O8" s="395"/>
      <c r="P8" s="395"/>
      <c r="Q8" s="395"/>
      <c r="R8" s="395"/>
      <c r="S8" s="395"/>
      <c r="T8" s="395"/>
    </row>
    <row r="9" spans="1:20" s="10" customFormat="1" ht="18.75" customHeight="1">
      <c r="A9" s="389" t="s">
        <v>7</v>
      </c>
      <c r="B9" s="389"/>
      <c r="C9" s="389"/>
      <c r="D9" s="389"/>
      <c r="E9" s="389"/>
      <c r="F9" s="389"/>
      <c r="G9" s="389"/>
      <c r="H9" s="389"/>
      <c r="I9" s="389"/>
      <c r="J9" s="389"/>
      <c r="K9" s="389"/>
      <c r="L9" s="389"/>
      <c r="M9" s="389"/>
      <c r="N9" s="389"/>
      <c r="O9" s="389"/>
      <c r="P9" s="389"/>
      <c r="Q9" s="389"/>
      <c r="R9" s="389"/>
      <c r="S9" s="389"/>
      <c r="T9" s="389"/>
    </row>
    <row r="10" spans="1:20" s="7" customFormat="1" ht="15.75" customHeight="1">
      <c r="A10" s="402"/>
      <c r="B10" s="402"/>
      <c r="C10" s="402"/>
      <c r="D10" s="402"/>
      <c r="E10" s="402"/>
      <c r="F10" s="402"/>
      <c r="G10" s="402"/>
      <c r="H10" s="402"/>
      <c r="I10" s="402"/>
      <c r="J10" s="402"/>
      <c r="K10" s="402"/>
      <c r="L10" s="402"/>
      <c r="M10" s="402"/>
      <c r="N10" s="402"/>
      <c r="O10" s="402"/>
      <c r="P10" s="402"/>
      <c r="Q10" s="402"/>
      <c r="R10" s="402"/>
      <c r="S10" s="402"/>
      <c r="T10" s="402"/>
    </row>
    <row r="11" spans="1:20" s="2" customFormat="1">
      <c r="A11" s="395" t="str">
        <f>' 1. паспорт местополож'!A11:C11</f>
        <v xml:space="preserve">Техническое перевооружение объекта "Оборудование кТП-15" ТП-15. </v>
      </c>
      <c r="B11" s="395"/>
      <c r="C11" s="395"/>
      <c r="D11" s="395"/>
      <c r="E11" s="395"/>
      <c r="F11" s="395"/>
      <c r="G11" s="395"/>
      <c r="H11" s="395"/>
      <c r="I11" s="395"/>
      <c r="J11" s="395"/>
      <c r="K11" s="395"/>
      <c r="L11" s="395"/>
      <c r="M11" s="395"/>
      <c r="N11" s="395"/>
      <c r="O11" s="395"/>
      <c r="P11" s="395"/>
      <c r="Q11" s="395"/>
      <c r="R11" s="395"/>
      <c r="S11" s="395"/>
      <c r="T11" s="395"/>
    </row>
    <row r="12" spans="1:20" s="2" customFormat="1" ht="15" customHeight="1">
      <c r="A12" s="389" t="s">
        <v>5</v>
      </c>
      <c r="B12" s="389"/>
      <c r="C12" s="389"/>
      <c r="D12" s="389"/>
      <c r="E12" s="389"/>
      <c r="F12" s="389"/>
      <c r="G12" s="389"/>
      <c r="H12" s="389"/>
      <c r="I12" s="389"/>
      <c r="J12" s="389"/>
      <c r="K12" s="389"/>
      <c r="L12" s="389"/>
      <c r="M12" s="389"/>
      <c r="N12" s="389"/>
      <c r="O12" s="389"/>
      <c r="P12" s="389"/>
      <c r="Q12" s="389"/>
      <c r="R12" s="389"/>
      <c r="S12" s="389"/>
      <c r="T12" s="389"/>
    </row>
    <row r="13" spans="1:20" s="2" customFormat="1" ht="15" customHeight="1">
      <c r="A13" s="389"/>
      <c r="B13" s="389"/>
      <c r="C13" s="389"/>
      <c r="D13" s="389"/>
      <c r="E13" s="389"/>
      <c r="F13" s="389"/>
      <c r="G13" s="389"/>
      <c r="H13" s="389"/>
      <c r="I13" s="389"/>
      <c r="J13" s="389"/>
      <c r="K13" s="389"/>
      <c r="L13" s="389"/>
      <c r="M13" s="389"/>
      <c r="N13" s="389"/>
      <c r="O13" s="389"/>
      <c r="P13" s="389"/>
      <c r="Q13" s="389"/>
      <c r="R13" s="389"/>
      <c r="S13" s="389"/>
      <c r="T13" s="389"/>
    </row>
    <row r="14" spans="1:20" s="2" customFormat="1" ht="15" customHeight="1">
      <c r="A14" s="395" t="s">
        <v>200</v>
      </c>
      <c r="B14" s="395"/>
      <c r="C14" s="395"/>
      <c r="D14" s="395"/>
      <c r="E14" s="395"/>
      <c r="F14" s="395"/>
      <c r="G14" s="395"/>
      <c r="H14" s="395"/>
      <c r="I14" s="395"/>
      <c r="J14" s="395"/>
      <c r="K14" s="395"/>
      <c r="L14" s="395"/>
      <c r="M14" s="395"/>
      <c r="N14" s="395"/>
      <c r="O14" s="395"/>
      <c r="P14" s="395"/>
      <c r="Q14" s="395"/>
      <c r="R14" s="395"/>
      <c r="S14" s="395"/>
      <c r="T14" s="395"/>
    </row>
    <row r="15" spans="1:20" s="36" customFormat="1" ht="21" customHeight="1">
      <c r="A15" s="403"/>
      <c r="B15" s="403"/>
      <c r="C15" s="403"/>
      <c r="D15" s="403"/>
      <c r="E15" s="403"/>
      <c r="F15" s="403"/>
      <c r="G15" s="403"/>
      <c r="H15" s="403"/>
      <c r="I15" s="403"/>
      <c r="J15" s="403"/>
      <c r="K15" s="403"/>
      <c r="L15" s="403"/>
      <c r="M15" s="403"/>
      <c r="N15" s="403"/>
      <c r="O15" s="403"/>
      <c r="P15" s="403"/>
      <c r="Q15" s="403"/>
      <c r="R15" s="403"/>
      <c r="S15" s="403"/>
      <c r="T15" s="403"/>
    </row>
    <row r="16" spans="1:20" ht="46.5" customHeight="1">
      <c r="A16" s="404" t="s">
        <v>4</v>
      </c>
      <c r="B16" s="405" t="s">
        <v>116</v>
      </c>
      <c r="C16" s="405"/>
      <c r="D16" s="405" t="s">
        <v>76</v>
      </c>
      <c r="E16" s="405" t="s">
        <v>223</v>
      </c>
      <c r="F16" s="405"/>
      <c r="G16" s="405" t="s">
        <v>127</v>
      </c>
      <c r="H16" s="405"/>
      <c r="I16" s="405" t="s">
        <v>75</v>
      </c>
      <c r="J16" s="405"/>
      <c r="K16" s="405" t="s">
        <v>74</v>
      </c>
      <c r="L16" s="405" t="s">
        <v>73</v>
      </c>
      <c r="M16" s="405"/>
      <c r="N16" s="405" t="s">
        <v>230</v>
      </c>
      <c r="O16" s="405"/>
      <c r="P16" s="405" t="s">
        <v>72</v>
      </c>
      <c r="Q16" s="401" t="s">
        <v>71</v>
      </c>
      <c r="R16" s="401"/>
      <c r="S16" s="401" t="s">
        <v>70</v>
      </c>
      <c r="T16" s="401"/>
    </row>
    <row r="17" spans="1:113" ht="109.5" customHeight="1">
      <c r="A17" s="404"/>
      <c r="B17" s="405"/>
      <c r="C17" s="405"/>
      <c r="D17" s="405"/>
      <c r="E17" s="405"/>
      <c r="F17" s="405"/>
      <c r="G17" s="405"/>
      <c r="H17" s="405"/>
      <c r="I17" s="405"/>
      <c r="J17" s="405"/>
      <c r="K17" s="405"/>
      <c r="L17" s="405"/>
      <c r="M17" s="405"/>
      <c r="N17" s="405"/>
      <c r="O17" s="405"/>
      <c r="P17" s="405"/>
      <c r="Q17" s="81" t="s">
        <v>69</v>
      </c>
      <c r="R17" s="81" t="s">
        <v>199</v>
      </c>
      <c r="S17" s="81" t="s">
        <v>68</v>
      </c>
      <c r="T17" s="81" t="s">
        <v>67</v>
      </c>
    </row>
    <row r="18" spans="1:113" ht="51.75" customHeight="1">
      <c r="A18" s="404"/>
      <c r="B18" s="82" t="s">
        <v>65</v>
      </c>
      <c r="C18" s="82" t="s">
        <v>66</v>
      </c>
      <c r="D18" s="405"/>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72" customFormat="1" ht="78.75">
      <c r="A20" s="371">
        <v>1</v>
      </c>
      <c r="B20" s="371" t="s">
        <v>572</v>
      </c>
      <c r="C20" s="371" t="s">
        <v>577</v>
      </c>
      <c r="D20" s="371" t="s">
        <v>61</v>
      </c>
      <c r="E20" s="371" t="s">
        <v>569</v>
      </c>
      <c r="F20" s="371" t="s">
        <v>578</v>
      </c>
      <c r="G20" s="371" t="str">
        <f>B20</f>
        <v>ТП-15</v>
      </c>
      <c r="H20" s="371" t="str">
        <f>C20</f>
        <v>КТП-15</v>
      </c>
      <c r="I20" s="371">
        <v>1981</v>
      </c>
      <c r="J20" s="371">
        <v>2022</v>
      </c>
      <c r="K20" s="371">
        <f>I20</f>
        <v>1981</v>
      </c>
      <c r="L20" s="371">
        <v>6</v>
      </c>
      <c r="M20" s="371">
        <f>L20</f>
        <v>6</v>
      </c>
      <c r="N20" s="371">
        <v>0.4</v>
      </c>
      <c r="O20" s="371">
        <v>0.63</v>
      </c>
      <c r="P20" s="371" t="s">
        <v>136</v>
      </c>
      <c r="Q20" s="371" t="s">
        <v>136</v>
      </c>
      <c r="R20" s="371" t="s">
        <v>136</v>
      </c>
      <c r="S20" s="371" t="s">
        <v>573</v>
      </c>
      <c r="T20" s="371" t="s">
        <v>574</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406" t="s">
        <v>228</v>
      </c>
      <c r="C24" s="406"/>
      <c r="D24" s="406"/>
      <c r="E24" s="406"/>
      <c r="F24" s="406"/>
      <c r="G24" s="406"/>
      <c r="H24" s="406"/>
      <c r="I24" s="406"/>
      <c r="J24" s="406"/>
      <c r="K24" s="406"/>
      <c r="L24" s="406"/>
      <c r="M24" s="406"/>
      <c r="N24" s="406"/>
      <c r="O24" s="406"/>
      <c r="P24" s="406"/>
      <c r="Q24" s="406"/>
      <c r="R24" s="406"/>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topLeftCell="A10"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391" t="s">
        <v>9</v>
      </c>
      <c r="F3" s="391"/>
      <c r="G3" s="391"/>
      <c r="H3" s="391"/>
      <c r="I3" s="391"/>
      <c r="J3" s="391"/>
      <c r="K3" s="391"/>
      <c r="L3" s="391"/>
      <c r="M3" s="391"/>
      <c r="N3" s="391"/>
      <c r="O3" s="391"/>
      <c r="P3" s="391"/>
      <c r="Q3" s="391"/>
      <c r="R3" s="391"/>
      <c r="S3" s="391"/>
      <c r="T3" s="391"/>
      <c r="U3" s="391"/>
      <c r="V3" s="391"/>
      <c r="W3" s="391"/>
      <c r="X3" s="391"/>
      <c r="Y3" s="39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395"/>
    </row>
    <row r="6" spans="1:27" s="10" customFormat="1" ht="18.75" customHeight="1">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95" t="str">
        <f>' 1. паспорт местополож'!A8:C8</f>
        <v>J_ДВОСТ-149</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395"/>
    </row>
    <row r="9" spans="1:27" s="10" customFormat="1" ht="18.75" customHeight="1">
      <c r="E9" s="389" t="s">
        <v>7</v>
      </c>
      <c r="F9" s="389"/>
      <c r="G9" s="389"/>
      <c r="H9" s="389"/>
      <c r="I9" s="389"/>
      <c r="J9" s="389"/>
      <c r="K9" s="389"/>
      <c r="L9" s="389"/>
      <c r="M9" s="389"/>
      <c r="N9" s="389"/>
      <c r="O9" s="389"/>
      <c r="P9" s="389"/>
      <c r="Q9" s="389"/>
      <c r="R9" s="389"/>
      <c r="S9" s="389"/>
      <c r="T9" s="389"/>
      <c r="U9" s="389"/>
      <c r="V9" s="389"/>
      <c r="W9" s="389"/>
      <c r="X9" s="389"/>
      <c r="Y9" s="38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95" t="str">
        <f>' 1. паспорт местополож'!A11:C11</f>
        <v xml:space="preserve">Техническое перевооружение объекта "Оборудование кТП-15" ТП-15. </v>
      </c>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395"/>
    </row>
    <row r="12" spans="1:27" s="2" customFormat="1" ht="15" customHeight="1">
      <c r="A12" s="114"/>
      <c r="B12" s="114"/>
      <c r="C12" s="114"/>
      <c r="D12" s="114"/>
      <c r="E12" s="389" t="s">
        <v>5</v>
      </c>
      <c r="F12" s="389"/>
      <c r="G12" s="389"/>
      <c r="H12" s="389"/>
      <c r="I12" s="389"/>
      <c r="J12" s="389"/>
      <c r="K12" s="389"/>
      <c r="L12" s="389"/>
      <c r="M12" s="389"/>
      <c r="N12" s="389"/>
      <c r="O12" s="389"/>
      <c r="P12" s="389"/>
      <c r="Q12" s="389"/>
      <c r="R12" s="389"/>
      <c r="S12" s="389"/>
      <c r="T12" s="389"/>
      <c r="U12" s="389"/>
      <c r="V12" s="389"/>
      <c r="W12" s="389"/>
      <c r="X12" s="389"/>
      <c r="Y12" s="389"/>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395"/>
      <c r="F14" s="395"/>
      <c r="G14" s="395"/>
      <c r="H14" s="395"/>
      <c r="I14" s="395"/>
      <c r="J14" s="395"/>
      <c r="K14" s="395"/>
      <c r="L14" s="395"/>
      <c r="M14" s="395"/>
      <c r="N14" s="395"/>
      <c r="O14" s="395"/>
      <c r="P14" s="395"/>
      <c r="Q14" s="395"/>
      <c r="R14" s="395"/>
      <c r="S14" s="395"/>
      <c r="T14" s="395"/>
      <c r="U14" s="395"/>
      <c r="V14" s="395"/>
      <c r="W14" s="395"/>
      <c r="X14" s="395"/>
      <c r="Y14" s="395"/>
      <c r="Z14" s="114"/>
      <c r="AA14" s="114"/>
    </row>
    <row r="15" spans="1:27" ht="25.5" customHeight="1">
      <c r="A15" s="395" t="s">
        <v>202</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row>
    <row r="16" spans="1:27" s="36" customFormat="1" ht="21" customHeight="1"/>
    <row r="17" spans="1:27" ht="15.75" customHeight="1">
      <c r="A17" s="409" t="s">
        <v>4</v>
      </c>
      <c r="B17" s="411" t="s">
        <v>207</v>
      </c>
      <c r="C17" s="412"/>
      <c r="D17" s="411" t="s">
        <v>209</v>
      </c>
      <c r="E17" s="412"/>
      <c r="F17" s="407" t="s">
        <v>48</v>
      </c>
      <c r="G17" s="408"/>
      <c r="H17" s="408"/>
      <c r="I17" s="415"/>
      <c r="J17" s="409" t="s">
        <v>210</v>
      </c>
      <c r="K17" s="411" t="s">
        <v>211</v>
      </c>
      <c r="L17" s="412"/>
      <c r="M17" s="411" t="s">
        <v>212</v>
      </c>
      <c r="N17" s="412"/>
      <c r="O17" s="411" t="s">
        <v>201</v>
      </c>
      <c r="P17" s="412"/>
      <c r="Q17" s="411" t="s">
        <v>81</v>
      </c>
      <c r="R17" s="412"/>
      <c r="S17" s="409" t="s">
        <v>80</v>
      </c>
      <c r="T17" s="409" t="s">
        <v>213</v>
      </c>
      <c r="U17" s="409" t="s">
        <v>208</v>
      </c>
      <c r="V17" s="411" t="s">
        <v>79</v>
      </c>
      <c r="W17" s="412"/>
      <c r="X17" s="407" t="s">
        <v>71</v>
      </c>
      <c r="Y17" s="408"/>
      <c r="Z17" s="407" t="s">
        <v>70</v>
      </c>
      <c r="AA17" s="408"/>
    </row>
    <row r="18" spans="1:27" ht="192.75" customHeight="1">
      <c r="A18" s="416"/>
      <c r="B18" s="413"/>
      <c r="C18" s="414"/>
      <c r="D18" s="413"/>
      <c r="E18" s="414"/>
      <c r="F18" s="407" t="s">
        <v>78</v>
      </c>
      <c r="G18" s="415"/>
      <c r="H18" s="407" t="s">
        <v>77</v>
      </c>
      <c r="I18" s="415"/>
      <c r="J18" s="410"/>
      <c r="K18" s="413"/>
      <c r="L18" s="414"/>
      <c r="M18" s="413"/>
      <c r="N18" s="414"/>
      <c r="O18" s="413"/>
      <c r="P18" s="414"/>
      <c r="Q18" s="413"/>
      <c r="R18" s="414"/>
      <c r="S18" s="410"/>
      <c r="T18" s="410"/>
      <c r="U18" s="410"/>
      <c r="V18" s="413"/>
      <c r="W18" s="414"/>
      <c r="X18" s="81" t="s">
        <v>69</v>
      </c>
      <c r="Y18" s="81" t="s">
        <v>199</v>
      </c>
      <c r="Z18" s="81" t="s">
        <v>68</v>
      </c>
      <c r="AA18" s="81" t="s">
        <v>67</v>
      </c>
    </row>
    <row r="19" spans="1:27" ht="60" customHeight="1">
      <c r="A19" s="410"/>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319" t="s">
        <v>244</v>
      </c>
      <c r="B21" s="319" t="s">
        <v>244</v>
      </c>
      <c r="C21" s="319" t="s">
        <v>244</v>
      </c>
      <c r="D21" s="319" t="s">
        <v>244</v>
      </c>
      <c r="E21" s="319" t="s">
        <v>244</v>
      </c>
      <c r="F21" s="319" t="s">
        <v>244</v>
      </c>
      <c r="G21" s="319" t="s">
        <v>244</v>
      </c>
      <c r="H21" s="319" t="s">
        <v>244</v>
      </c>
      <c r="I21" s="319" t="s">
        <v>244</v>
      </c>
      <c r="J21" s="319" t="s">
        <v>244</v>
      </c>
      <c r="K21" s="319" t="s">
        <v>244</v>
      </c>
      <c r="L21" s="319" t="s">
        <v>244</v>
      </c>
      <c r="M21" s="319" t="s">
        <v>244</v>
      </c>
      <c r="N21" s="319" t="s">
        <v>244</v>
      </c>
      <c r="O21" s="319" t="s">
        <v>244</v>
      </c>
      <c r="P21" s="319" t="s">
        <v>244</v>
      </c>
      <c r="Q21" s="319" t="s">
        <v>244</v>
      </c>
      <c r="R21" s="319" t="s">
        <v>244</v>
      </c>
      <c r="S21" s="319" t="s">
        <v>244</v>
      </c>
      <c r="T21" s="319" t="s">
        <v>244</v>
      </c>
      <c r="U21" s="319" t="s">
        <v>244</v>
      </c>
      <c r="V21" s="319" t="s">
        <v>244</v>
      </c>
      <c r="W21" s="319" t="s">
        <v>244</v>
      </c>
      <c r="X21" s="319" t="s">
        <v>244</v>
      </c>
      <c r="Y21" s="319" t="s">
        <v>244</v>
      </c>
      <c r="Z21" s="319" t="s">
        <v>244</v>
      </c>
      <c r="AA21" s="319" t="s">
        <v>244</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7" zoomScale="85" zoomScaleSheetLayoutView="85" workbookViewId="0">
      <selection activeCell="C25" sqref="C25"/>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88" t="str">
        <f>' 1. паспорт местополож'!A1:C1</f>
        <v>Год раскрытия информации: 2019 год</v>
      </c>
      <c r="B1" s="388"/>
      <c r="C1" s="388"/>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391" t="s">
        <v>9</v>
      </c>
      <c r="B3" s="391"/>
      <c r="C3" s="391"/>
      <c r="D3" s="11"/>
      <c r="E3" s="11"/>
      <c r="F3" s="11"/>
      <c r="G3" s="11"/>
      <c r="H3" s="11"/>
      <c r="I3" s="11"/>
      <c r="J3" s="11"/>
      <c r="K3" s="11"/>
      <c r="L3" s="11"/>
      <c r="M3" s="11"/>
      <c r="N3" s="11"/>
      <c r="O3" s="11"/>
      <c r="P3" s="11"/>
      <c r="Q3" s="11"/>
      <c r="R3" s="11"/>
      <c r="S3" s="11"/>
      <c r="T3" s="11"/>
    </row>
    <row r="4" spans="1:28" s="10" customFormat="1" ht="18.75">
      <c r="A4" s="391"/>
      <c r="B4" s="391"/>
      <c r="C4" s="391"/>
      <c r="D4" s="12"/>
      <c r="E4" s="12"/>
      <c r="F4" s="12"/>
      <c r="G4" s="11"/>
      <c r="H4" s="11"/>
      <c r="I4" s="11"/>
      <c r="J4" s="11"/>
      <c r="K4" s="11"/>
      <c r="L4" s="11"/>
      <c r="M4" s="11"/>
      <c r="N4" s="11"/>
      <c r="O4" s="11"/>
      <c r="P4" s="11"/>
      <c r="Q4" s="11"/>
      <c r="R4" s="11"/>
      <c r="S4" s="11"/>
      <c r="T4" s="11"/>
    </row>
    <row r="5" spans="1:28" s="10" customFormat="1" ht="18.75">
      <c r="A5" s="3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2"/>
      <c r="C5" s="392"/>
      <c r="D5" s="6"/>
      <c r="E5" s="6"/>
      <c r="F5" s="6"/>
      <c r="G5" s="11"/>
      <c r="H5" s="11"/>
      <c r="I5" s="11"/>
      <c r="J5" s="11"/>
      <c r="K5" s="11"/>
      <c r="L5" s="11"/>
      <c r="M5" s="11"/>
      <c r="N5" s="11"/>
      <c r="O5" s="11"/>
      <c r="P5" s="11"/>
      <c r="Q5" s="11"/>
      <c r="R5" s="11"/>
      <c r="S5" s="11"/>
      <c r="T5" s="11"/>
    </row>
    <row r="6" spans="1:28" s="10" customFormat="1" ht="18.75">
      <c r="A6" s="389" t="s">
        <v>8</v>
      </c>
      <c r="B6" s="389"/>
      <c r="C6" s="389"/>
      <c r="D6" s="4"/>
      <c r="E6" s="4"/>
      <c r="F6" s="4"/>
      <c r="G6" s="11"/>
      <c r="H6" s="11"/>
      <c r="I6" s="11"/>
      <c r="J6" s="11"/>
      <c r="K6" s="11"/>
      <c r="L6" s="11"/>
      <c r="M6" s="11"/>
      <c r="N6" s="11"/>
      <c r="O6" s="11"/>
      <c r="P6" s="11"/>
      <c r="Q6" s="11"/>
      <c r="R6" s="11"/>
      <c r="S6" s="11"/>
      <c r="T6" s="11"/>
    </row>
    <row r="7" spans="1:28" s="10" customFormat="1" ht="18.75">
      <c r="A7" s="391"/>
      <c r="B7" s="391"/>
      <c r="C7" s="391"/>
      <c r="D7" s="12"/>
      <c r="E7" s="12"/>
      <c r="F7" s="12"/>
      <c r="G7" s="11"/>
      <c r="H7" s="11"/>
      <c r="I7" s="11"/>
      <c r="J7" s="11"/>
      <c r="K7" s="11"/>
      <c r="L7" s="11"/>
      <c r="M7" s="11"/>
      <c r="N7" s="11"/>
      <c r="O7" s="11"/>
      <c r="P7" s="11"/>
      <c r="Q7" s="11"/>
      <c r="R7" s="11"/>
      <c r="S7" s="11"/>
      <c r="T7" s="11"/>
    </row>
    <row r="8" spans="1:28" s="10" customFormat="1" ht="18.75">
      <c r="A8" s="395" t="str">
        <f>' 1. паспорт местополож'!A8:C8</f>
        <v>J_ДВОСТ-149</v>
      </c>
      <c r="B8" s="395"/>
      <c r="C8" s="395"/>
      <c r="D8" s="6"/>
      <c r="E8" s="6"/>
      <c r="F8" s="6"/>
      <c r="G8" s="11"/>
      <c r="H8" s="11"/>
      <c r="I8" s="11"/>
      <c r="J8" s="11"/>
      <c r="K8" s="11"/>
      <c r="L8" s="11"/>
      <c r="M8" s="11"/>
      <c r="N8" s="11"/>
      <c r="O8" s="11"/>
      <c r="P8" s="11"/>
      <c r="Q8" s="11"/>
      <c r="R8" s="11"/>
      <c r="S8" s="11"/>
      <c r="T8" s="11"/>
    </row>
    <row r="9" spans="1:28" s="10" customFormat="1" ht="18.75">
      <c r="A9" s="389" t="s">
        <v>7</v>
      </c>
      <c r="B9" s="389"/>
      <c r="C9" s="389"/>
      <c r="D9" s="4"/>
      <c r="E9" s="4"/>
      <c r="F9" s="4"/>
      <c r="G9" s="11"/>
      <c r="H9" s="11"/>
      <c r="I9" s="11"/>
      <c r="J9" s="11"/>
      <c r="K9" s="11"/>
      <c r="L9" s="11"/>
      <c r="M9" s="11"/>
      <c r="N9" s="11"/>
      <c r="O9" s="11"/>
      <c r="P9" s="11"/>
      <c r="Q9" s="11"/>
      <c r="R9" s="11"/>
      <c r="S9" s="11"/>
      <c r="T9" s="11"/>
    </row>
    <row r="10" spans="1:28" s="7" customFormat="1" ht="15.75" customHeight="1">
      <c r="A10" s="402"/>
      <c r="B10" s="402"/>
      <c r="C10" s="402"/>
      <c r="D10" s="8"/>
      <c r="E10" s="8"/>
      <c r="F10" s="8"/>
      <c r="G10" s="8"/>
      <c r="H10" s="8"/>
      <c r="I10" s="8"/>
      <c r="J10" s="8"/>
      <c r="K10" s="8"/>
      <c r="L10" s="8"/>
      <c r="M10" s="8"/>
      <c r="N10" s="8"/>
      <c r="O10" s="8"/>
      <c r="P10" s="8"/>
      <c r="Q10" s="8"/>
      <c r="R10" s="8"/>
      <c r="S10" s="8"/>
      <c r="T10" s="8"/>
    </row>
    <row r="11" spans="1:28" s="2" customFormat="1" ht="36" customHeight="1">
      <c r="A11" s="390" t="str">
        <f>' 1. паспорт местополож'!A11:C11</f>
        <v xml:space="preserve">Техническое перевооружение объекта "Оборудование кТП-15" ТП-15. </v>
      </c>
      <c r="B11" s="390"/>
      <c r="C11" s="390"/>
      <c r="D11" s="6"/>
      <c r="E11" s="6"/>
      <c r="F11" s="6"/>
      <c r="G11" s="6"/>
      <c r="H11" s="6"/>
      <c r="I11" s="6"/>
      <c r="J11" s="6"/>
      <c r="K11" s="6"/>
      <c r="L11" s="6"/>
      <c r="M11" s="6"/>
      <c r="N11" s="6"/>
      <c r="O11" s="6"/>
      <c r="P11" s="6"/>
      <c r="Q11" s="6"/>
      <c r="R11" s="6"/>
      <c r="S11" s="6"/>
      <c r="T11" s="6"/>
    </row>
    <row r="12" spans="1:28" s="2" customFormat="1" ht="15" customHeight="1">
      <c r="A12" s="389" t="s">
        <v>5</v>
      </c>
      <c r="B12" s="389"/>
      <c r="C12" s="389"/>
      <c r="D12" s="4"/>
      <c r="E12" s="4"/>
      <c r="F12" s="4"/>
      <c r="G12" s="4"/>
      <c r="H12" s="4"/>
      <c r="I12" s="4"/>
      <c r="J12" s="4"/>
      <c r="K12" s="4"/>
      <c r="L12" s="4"/>
      <c r="M12" s="4"/>
      <c r="N12" s="4"/>
      <c r="O12" s="4"/>
      <c r="P12" s="4"/>
      <c r="Q12" s="4"/>
      <c r="R12" s="4"/>
      <c r="S12" s="4"/>
      <c r="T12" s="4"/>
    </row>
    <row r="13" spans="1:28" s="2" customFormat="1" ht="15" customHeight="1">
      <c r="A13" s="389"/>
      <c r="B13" s="389"/>
      <c r="C13" s="389"/>
      <c r="D13" s="3"/>
      <c r="E13" s="3"/>
      <c r="F13" s="3"/>
      <c r="G13" s="3"/>
      <c r="H13" s="3"/>
      <c r="I13" s="3"/>
      <c r="J13" s="3"/>
      <c r="K13" s="3"/>
      <c r="L13" s="3"/>
      <c r="M13" s="3"/>
      <c r="N13" s="3"/>
      <c r="O13" s="3"/>
      <c r="P13" s="3"/>
      <c r="Q13" s="3"/>
    </row>
    <row r="14" spans="1:28" s="2" customFormat="1" ht="18.75">
      <c r="A14" s="390" t="s">
        <v>194</v>
      </c>
      <c r="B14" s="390"/>
      <c r="C14" s="390"/>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320" t="s">
        <v>23</v>
      </c>
      <c r="C16" s="320" t="s">
        <v>22</v>
      </c>
      <c r="D16" s="19"/>
      <c r="E16" s="19"/>
      <c r="F16" s="19"/>
      <c r="G16" s="18"/>
      <c r="H16" s="18"/>
      <c r="I16" s="18"/>
      <c r="J16" s="18"/>
      <c r="K16" s="18"/>
      <c r="L16" s="18"/>
      <c r="M16" s="18"/>
      <c r="N16" s="18"/>
      <c r="O16" s="18"/>
      <c r="P16" s="18"/>
      <c r="Q16" s="18"/>
      <c r="R16" s="17"/>
      <c r="S16" s="17"/>
      <c r="T16" s="17"/>
    </row>
    <row r="17" spans="1:20" s="2" customFormat="1" ht="16.5" customHeight="1">
      <c r="A17" s="320">
        <v>1</v>
      </c>
      <c r="B17" s="320">
        <v>2</v>
      </c>
      <c r="C17" s="320">
        <v>3</v>
      </c>
      <c r="D17" s="19"/>
      <c r="E17" s="19"/>
      <c r="F17" s="19"/>
      <c r="G17" s="18"/>
      <c r="H17" s="18"/>
      <c r="I17" s="18"/>
      <c r="J17" s="18"/>
      <c r="K17" s="18"/>
      <c r="L17" s="18"/>
      <c r="M17" s="18"/>
      <c r="N17" s="18"/>
      <c r="O17" s="18"/>
      <c r="P17" s="18"/>
      <c r="Q17" s="18"/>
      <c r="R17" s="17"/>
      <c r="S17" s="17"/>
      <c r="T17" s="17"/>
    </row>
    <row r="18" spans="1:20" s="2" customFormat="1" ht="33">
      <c r="A18" s="86" t="s">
        <v>21</v>
      </c>
      <c r="B18" s="87" t="s">
        <v>205</v>
      </c>
      <c r="C18" s="321" t="s">
        <v>556</v>
      </c>
      <c r="D18" s="19"/>
      <c r="E18" s="18"/>
      <c r="F18" s="18"/>
      <c r="G18" s="18"/>
      <c r="H18" s="18"/>
      <c r="I18" s="18"/>
      <c r="J18" s="18"/>
      <c r="K18" s="18"/>
      <c r="L18" s="18"/>
      <c r="M18" s="18"/>
      <c r="N18" s="18"/>
      <c r="O18" s="18"/>
      <c r="P18" s="17"/>
      <c r="Q18" s="17"/>
      <c r="R18" s="17"/>
      <c r="S18" s="17"/>
      <c r="T18" s="17"/>
    </row>
    <row r="19" spans="1:20" s="365" customFormat="1" ht="33">
      <c r="A19" s="373" t="s">
        <v>20</v>
      </c>
      <c r="B19" s="374" t="s">
        <v>17</v>
      </c>
      <c r="C19" s="375" t="s">
        <v>575</v>
      </c>
      <c r="D19" s="364"/>
      <c r="E19" s="364"/>
      <c r="F19" s="364"/>
      <c r="G19" s="364"/>
      <c r="H19" s="364"/>
      <c r="I19" s="364"/>
      <c r="J19" s="364"/>
      <c r="K19" s="364"/>
      <c r="L19" s="364"/>
      <c r="M19" s="364"/>
      <c r="N19" s="364"/>
      <c r="O19" s="364"/>
      <c r="P19" s="364"/>
      <c r="Q19" s="364"/>
      <c r="R19" s="364"/>
      <c r="S19" s="364"/>
      <c r="T19" s="364"/>
    </row>
    <row r="20" spans="1:20" s="365" customFormat="1" ht="63" customHeight="1">
      <c r="A20" s="373" t="s">
        <v>19</v>
      </c>
      <c r="B20" s="374" t="s">
        <v>561</v>
      </c>
      <c r="C20" s="376" t="s">
        <v>576</v>
      </c>
      <c r="D20" s="364"/>
      <c r="E20" s="364"/>
      <c r="F20" s="364"/>
      <c r="G20" s="364"/>
      <c r="H20" s="364"/>
      <c r="I20" s="364"/>
      <c r="J20" s="364"/>
      <c r="K20" s="364"/>
      <c r="L20" s="364"/>
      <c r="M20" s="364"/>
      <c r="N20" s="364"/>
      <c r="O20" s="364"/>
      <c r="P20" s="364"/>
      <c r="Q20" s="364"/>
      <c r="R20" s="364"/>
      <c r="S20" s="364"/>
      <c r="T20" s="364"/>
    </row>
    <row r="21" spans="1:20" ht="33">
      <c r="A21" s="86" t="s">
        <v>18</v>
      </c>
      <c r="B21" s="85" t="s">
        <v>222</v>
      </c>
      <c r="C21" s="322">
        <f>' 1. паспорт местополож'!C43</f>
        <v>1.7</v>
      </c>
      <c r="D21" s="16"/>
      <c r="E21" s="16"/>
      <c r="F21" s="16"/>
      <c r="G21" s="16"/>
      <c r="H21" s="16"/>
      <c r="I21" s="16"/>
      <c r="J21" s="16"/>
      <c r="K21" s="16"/>
      <c r="L21" s="16"/>
      <c r="M21" s="16"/>
      <c r="N21" s="16"/>
      <c r="O21" s="16"/>
      <c r="P21" s="16"/>
      <c r="Q21" s="16"/>
      <c r="R21" s="16"/>
      <c r="S21" s="16"/>
      <c r="T21" s="16"/>
    </row>
    <row r="22" spans="1:20" s="365" customFormat="1" ht="33">
      <c r="A22" s="373" t="s">
        <v>16</v>
      </c>
      <c r="B22" s="374" t="s">
        <v>117</v>
      </c>
      <c r="C22" s="377" t="str">
        <f>C19</f>
        <v>Техническое перевооружение  ТП с заменой на модульную КТП с ТМГ-630.</v>
      </c>
      <c r="D22" s="364"/>
      <c r="E22" s="364"/>
      <c r="F22" s="364"/>
      <c r="G22" s="364"/>
      <c r="H22" s="364"/>
      <c r="I22" s="364"/>
      <c r="J22" s="364"/>
      <c r="K22" s="364"/>
      <c r="L22" s="364"/>
      <c r="M22" s="364"/>
      <c r="N22" s="364"/>
      <c r="O22" s="364"/>
      <c r="P22" s="364"/>
      <c r="Q22" s="364"/>
      <c r="R22" s="364"/>
      <c r="S22" s="364"/>
      <c r="T22" s="364"/>
    </row>
    <row r="23" spans="1:20" ht="33">
      <c r="A23" s="86" t="s">
        <v>15</v>
      </c>
      <c r="B23" s="85" t="s">
        <v>206</v>
      </c>
      <c r="C23" s="321" t="s">
        <v>548</v>
      </c>
      <c r="D23" s="16"/>
      <c r="E23" s="16"/>
      <c r="F23" s="16"/>
      <c r="G23" s="16"/>
      <c r="H23" s="16"/>
      <c r="I23" s="16"/>
      <c r="J23" s="16"/>
      <c r="K23" s="16"/>
      <c r="L23" s="16"/>
      <c r="M23" s="16"/>
      <c r="N23" s="16"/>
      <c r="O23" s="16"/>
      <c r="P23" s="16"/>
      <c r="Q23" s="16"/>
      <c r="R23" s="16"/>
      <c r="S23" s="16"/>
      <c r="T23" s="16"/>
    </row>
    <row r="24" spans="1:20" s="365" customFormat="1" ht="42.75" customHeight="1">
      <c r="A24" s="373" t="s">
        <v>13</v>
      </c>
      <c r="B24" s="374" t="s">
        <v>14</v>
      </c>
      <c r="C24" s="378">
        <v>2021</v>
      </c>
      <c r="D24" s="364"/>
      <c r="E24" s="364"/>
      <c r="F24" s="364"/>
      <c r="G24" s="364"/>
      <c r="H24" s="364"/>
      <c r="I24" s="364"/>
      <c r="J24" s="364"/>
      <c r="K24" s="364"/>
      <c r="L24" s="364"/>
      <c r="M24" s="364"/>
      <c r="N24" s="364"/>
      <c r="O24" s="364"/>
      <c r="P24" s="364"/>
      <c r="Q24" s="364"/>
      <c r="R24" s="364"/>
      <c r="S24" s="364"/>
      <c r="T24" s="364"/>
    </row>
    <row r="25" spans="1:20" s="365" customFormat="1" ht="42.75" customHeight="1">
      <c r="A25" s="373" t="s">
        <v>11</v>
      </c>
      <c r="B25" s="374" t="s">
        <v>12</v>
      </c>
      <c r="C25" s="375">
        <v>2022</v>
      </c>
      <c r="D25" s="364"/>
      <c r="E25" s="364"/>
      <c r="F25" s="364"/>
      <c r="G25" s="364"/>
      <c r="H25" s="364"/>
      <c r="I25" s="364"/>
      <c r="J25" s="364"/>
      <c r="K25" s="364"/>
      <c r="L25" s="364"/>
      <c r="M25" s="364"/>
      <c r="N25" s="364"/>
      <c r="O25" s="364"/>
      <c r="P25" s="364"/>
      <c r="Q25" s="364"/>
      <c r="R25" s="364"/>
      <c r="S25" s="364"/>
      <c r="T25" s="364"/>
    </row>
    <row r="26" spans="1:20" ht="42.75" customHeight="1">
      <c r="A26" s="86" t="s">
        <v>27</v>
      </c>
      <c r="B26" s="85" t="s">
        <v>10</v>
      </c>
      <c r="C26" s="334" t="s">
        <v>555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4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10" zoomScale="90" zoomScaleNormal="55" zoomScaleSheetLayoutView="90"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91" t="s">
        <v>9</v>
      </c>
      <c r="B3" s="391"/>
      <c r="C3" s="391"/>
      <c r="D3" s="391"/>
      <c r="E3" s="391"/>
      <c r="F3" s="391"/>
      <c r="G3" s="391"/>
      <c r="H3" s="391"/>
      <c r="I3" s="391"/>
      <c r="J3" s="391"/>
      <c r="K3" s="391"/>
      <c r="L3" s="391"/>
      <c r="M3" s="391"/>
      <c r="N3" s="391"/>
      <c r="O3" s="391"/>
      <c r="P3" s="391"/>
      <c r="Q3" s="391"/>
      <c r="R3" s="391"/>
      <c r="S3" s="391"/>
      <c r="T3" s="391"/>
      <c r="U3" s="391"/>
      <c r="V3" s="391"/>
      <c r="W3" s="391"/>
      <c r="X3" s="391"/>
      <c r="Y3" s="391"/>
      <c r="Z3" s="391"/>
      <c r="AA3" s="62"/>
      <c r="AB3" s="62"/>
    </row>
    <row r="4" spans="1:28" ht="18.75">
      <c r="A4" s="391"/>
      <c r="B4" s="391"/>
      <c r="C4" s="391"/>
      <c r="D4" s="391"/>
      <c r="E4" s="391"/>
      <c r="F4" s="391"/>
      <c r="G4" s="391"/>
      <c r="H4" s="391"/>
      <c r="I4" s="391"/>
      <c r="J4" s="391"/>
      <c r="K4" s="391"/>
      <c r="L4" s="391"/>
      <c r="M4" s="391"/>
      <c r="N4" s="391"/>
      <c r="O4" s="391"/>
      <c r="P4" s="391"/>
      <c r="Q4" s="391"/>
      <c r="R4" s="391"/>
      <c r="S4" s="391"/>
      <c r="T4" s="391"/>
      <c r="U4" s="391"/>
      <c r="V4" s="391"/>
      <c r="W4" s="391"/>
      <c r="X4" s="391"/>
      <c r="Y4" s="391"/>
      <c r="Z4" s="391"/>
      <c r="AA4" s="62"/>
      <c r="AB4" s="62"/>
    </row>
    <row r="5" spans="1:28" ht="15.75">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63"/>
      <c r="AB5" s="63"/>
    </row>
    <row r="6" spans="1:28" ht="15.75">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64"/>
      <c r="AB6" s="64"/>
    </row>
    <row r="7" spans="1:28" ht="18.75">
      <c r="A7" s="391"/>
      <c r="B7" s="391"/>
      <c r="C7" s="391"/>
      <c r="D7" s="391"/>
      <c r="E7" s="391"/>
      <c r="F7" s="391"/>
      <c r="G7" s="391"/>
      <c r="H7" s="391"/>
      <c r="I7" s="391"/>
      <c r="J7" s="391"/>
      <c r="K7" s="391"/>
      <c r="L7" s="391"/>
      <c r="M7" s="391"/>
      <c r="N7" s="391"/>
      <c r="O7" s="391"/>
      <c r="P7" s="391"/>
      <c r="Q7" s="391"/>
      <c r="R7" s="391"/>
      <c r="S7" s="391"/>
      <c r="T7" s="391"/>
      <c r="U7" s="391"/>
      <c r="V7" s="391"/>
      <c r="W7" s="391"/>
      <c r="X7" s="391"/>
      <c r="Y7" s="391"/>
      <c r="Z7" s="391"/>
      <c r="AA7" s="62"/>
      <c r="AB7" s="62"/>
    </row>
    <row r="8" spans="1:28" ht="15.75">
      <c r="A8" s="395" t="str">
        <f>' 1. паспорт местополож'!A8:C8</f>
        <v>J_ДВОСТ-149</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63"/>
      <c r="AB8" s="63"/>
    </row>
    <row r="9" spans="1:28" ht="15.75">
      <c r="A9" s="389" t="s">
        <v>7</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64"/>
      <c r="AB9" s="64"/>
    </row>
    <row r="10" spans="1:28" ht="18.75">
      <c r="A10" s="402"/>
      <c r="B10" s="402"/>
      <c r="C10" s="402"/>
      <c r="D10" s="402"/>
      <c r="E10" s="402"/>
      <c r="F10" s="402"/>
      <c r="G10" s="402"/>
      <c r="H10" s="402"/>
      <c r="I10" s="402"/>
      <c r="J10" s="402"/>
      <c r="K10" s="402"/>
      <c r="L10" s="402"/>
      <c r="M10" s="402"/>
      <c r="N10" s="402"/>
      <c r="O10" s="402"/>
      <c r="P10" s="402"/>
      <c r="Q10" s="402"/>
      <c r="R10" s="402"/>
      <c r="S10" s="402"/>
      <c r="T10" s="402"/>
      <c r="U10" s="402"/>
      <c r="V10" s="402"/>
      <c r="W10" s="402"/>
      <c r="X10" s="402"/>
      <c r="Y10" s="402"/>
      <c r="Z10" s="402"/>
      <c r="AA10" s="9"/>
      <c r="AB10" s="9"/>
    </row>
    <row r="11" spans="1:28" ht="15.75">
      <c r="A11" s="395" t="str">
        <f>' 1. паспорт местополож'!A11:C11</f>
        <v xml:space="preserve">Техническое перевооружение объекта "Оборудование кТП-15" ТП-15. </v>
      </c>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63"/>
      <c r="AB11" s="63"/>
    </row>
    <row r="12" spans="1:28" ht="15.75">
      <c r="A12" s="389" t="s">
        <v>5</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64"/>
      <c r="AB12" s="64"/>
    </row>
    <row r="13" spans="1:28" ht="15.7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68"/>
      <c r="AB13" s="68"/>
    </row>
    <row r="14" spans="1:28" s="72" customFormat="1" ht="36.75" customHeight="1">
      <c r="A14" s="417" t="s">
        <v>221</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71"/>
      <c r="AB14" s="71"/>
    </row>
    <row r="15" spans="1:28" ht="32.25" customHeight="1">
      <c r="A15" s="419" t="s">
        <v>134</v>
      </c>
      <c r="B15" s="420"/>
      <c r="C15" s="420"/>
      <c r="D15" s="420"/>
      <c r="E15" s="420"/>
      <c r="F15" s="420"/>
      <c r="G15" s="420"/>
      <c r="H15" s="420"/>
      <c r="I15" s="420"/>
      <c r="J15" s="420"/>
      <c r="K15" s="420"/>
      <c r="L15" s="421"/>
      <c r="M15" s="418" t="s">
        <v>135</v>
      </c>
      <c r="N15" s="418"/>
      <c r="O15" s="418"/>
      <c r="P15" s="418"/>
      <c r="Q15" s="418"/>
      <c r="R15" s="418"/>
      <c r="S15" s="418"/>
      <c r="T15" s="418"/>
      <c r="U15" s="418"/>
      <c r="V15" s="418"/>
      <c r="W15" s="418"/>
      <c r="X15" s="418"/>
      <c r="Y15" s="418"/>
      <c r="Z15" s="418"/>
    </row>
    <row r="16" spans="1:28" ht="254.25" customHeight="1">
      <c r="A16" s="88" t="s">
        <v>120</v>
      </c>
      <c r="B16" s="89" t="s">
        <v>125</v>
      </c>
      <c r="C16" s="89" t="s">
        <v>131</v>
      </c>
      <c r="D16" s="89" t="s">
        <v>121</v>
      </c>
      <c r="E16" s="89" t="s">
        <v>132</v>
      </c>
      <c r="F16" s="89" t="s">
        <v>231</v>
      </c>
      <c r="G16" s="89" t="s">
        <v>232</v>
      </c>
      <c r="H16" s="89" t="s">
        <v>122</v>
      </c>
      <c r="I16" s="89" t="s">
        <v>233</v>
      </c>
      <c r="J16" s="89" t="s">
        <v>126</v>
      </c>
      <c r="K16" s="89" t="s">
        <v>124</v>
      </c>
      <c r="L16" s="89" t="s">
        <v>123</v>
      </c>
      <c r="M16" s="90" t="s">
        <v>128</v>
      </c>
      <c r="N16" s="89" t="s">
        <v>234</v>
      </c>
      <c r="O16" s="89" t="s">
        <v>235</v>
      </c>
      <c r="P16" s="89" t="s">
        <v>236</v>
      </c>
      <c r="Q16" s="89" t="s">
        <v>237</v>
      </c>
      <c r="R16" s="89" t="s">
        <v>122</v>
      </c>
      <c r="S16" s="89" t="s">
        <v>238</v>
      </c>
      <c r="T16" s="89" t="s">
        <v>239</v>
      </c>
      <c r="U16" s="89" t="s">
        <v>240</v>
      </c>
      <c r="V16" s="89" t="s">
        <v>237</v>
      </c>
      <c r="W16" s="92" t="s">
        <v>241</v>
      </c>
      <c r="X16" s="92" t="s">
        <v>242</v>
      </c>
      <c r="Y16" s="92" t="s">
        <v>243</v>
      </c>
      <c r="Z16" s="91" t="s">
        <v>129</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244</v>
      </c>
      <c r="B18" s="116" t="s">
        <v>244</v>
      </c>
      <c r="C18" s="116" t="s">
        <v>244</v>
      </c>
      <c r="D18" s="116" t="s">
        <v>244</v>
      </c>
      <c r="E18" s="116" t="s">
        <v>244</v>
      </c>
      <c r="F18" s="116" t="s">
        <v>244</v>
      </c>
      <c r="G18" s="116" t="s">
        <v>244</v>
      </c>
      <c r="H18" s="116" t="s">
        <v>244</v>
      </c>
      <c r="I18" s="116" t="s">
        <v>244</v>
      </c>
      <c r="J18" s="116" t="s">
        <v>244</v>
      </c>
      <c r="K18" s="116" t="s">
        <v>244</v>
      </c>
      <c r="L18" s="116" t="s">
        <v>244</v>
      </c>
      <c r="M18" s="116" t="s">
        <v>244</v>
      </c>
      <c r="N18" s="116" t="s">
        <v>244</v>
      </c>
      <c r="O18" s="116" t="s">
        <v>244</v>
      </c>
      <c r="P18" s="116" t="s">
        <v>244</v>
      </c>
      <c r="Q18" s="116" t="s">
        <v>244</v>
      </c>
      <c r="R18" s="116" t="s">
        <v>244</v>
      </c>
      <c r="S18" s="116" t="s">
        <v>244</v>
      </c>
      <c r="T18" s="116" t="s">
        <v>244</v>
      </c>
      <c r="U18" s="116" t="s">
        <v>244</v>
      </c>
      <c r="V18" s="116" t="s">
        <v>244</v>
      </c>
      <c r="W18" s="116" t="s">
        <v>244</v>
      </c>
      <c r="X18" s="116" t="s">
        <v>244</v>
      </c>
      <c r="Y18" s="116" t="s">
        <v>244</v>
      </c>
      <c r="Z18" s="116" t="s">
        <v>244</v>
      </c>
    </row>
    <row r="19" spans="1:26">
      <c r="A19" s="116" t="s">
        <v>244</v>
      </c>
      <c r="B19" s="116" t="s">
        <v>244</v>
      </c>
      <c r="C19" s="116" t="s">
        <v>244</v>
      </c>
      <c r="D19" s="116" t="s">
        <v>244</v>
      </c>
      <c r="E19" s="116" t="s">
        <v>244</v>
      </c>
      <c r="F19" s="116" t="s">
        <v>244</v>
      </c>
      <c r="G19" s="116" t="s">
        <v>244</v>
      </c>
      <c r="H19" s="116" t="s">
        <v>244</v>
      </c>
      <c r="I19" s="116" t="s">
        <v>244</v>
      </c>
      <c r="J19" s="116" t="s">
        <v>244</v>
      </c>
      <c r="K19" s="116" t="s">
        <v>244</v>
      </c>
      <c r="L19" s="116" t="s">
        <v>244</v>
      </c>
      <c r="M19" s="116" t="s">
        <v>244</v>
      </c>
      <c r="N19" s="116" t="s">
        <v>244</v>
      </c>
      <c r="O19" s="116" t="s">
        <v>244</v>
      </c>
      <c r="P19" s="116" t="s">
        <v>244</v>
      </c>
      <c r="Q19" s="116" t="s">
        <v>244</v>
      </c>
      <c r="R19" s="116" t="s">
        <v>244</v>
      </c>
      <c r="S19" s="116" t="s">
        <v>244</v>
      </c>
      <c r="T19" s="116" t="s">
        <v>244</v>
      </c>
      <c r="U19" s="116" t="s">
        <v>244</v>
      </c>
      <c r="V19" s="116" t="s">
        <v>244</v>
      </c>
      <c r="W19" s="116" t="s">
        <v>244</v>
      </c>
      <c r="X19" s="116" t="s">
        <v>244</v>
      </c>
      <c r="Y19" s="116" t="s">
        <v>244</v>
      </c>
      <c r="Z19" s="116" t="s">
        <v>244</v>
      </c>
    </row>
    <row r="20" spans="1:26">
      <c r="A20" s="116" t="s">
        <v>244</v>
      </c>
      <c r="B20" s="116" t="s">
        <v>244</v>
      </c>
      <c r="C20" s="116" t="s">
        <v>244</v>
      </c>
      <c r="D20" s="116" t="s">
        <v>244</v>
      </c>
      <c r="E20" s="116" t="s">
        <v>244</v>
      </c>
      <c r="F20" s="116" t="s">
        <v>244</v>
      </c>
      <c r="G20" s="116" t="s">
        <v>244</v>
      </c>
      <c r="H20" s="116" t="s">
        <v>244</v>
      </c>
      <c r="I20" s="116" t="s">
        <v>244</v>
      </c>
      <c r="J20" s="116" t="s">
        <v>244</v>
      </c>
      <c r="K20" s="116" t="s">
        <v>244</v>
      </c>
      <c r="L20" s="116" t="s">
        <v>244</v>
      </c>
      <c r="M20" s="116" t="s">
        <v>244</v>
      </c>
      <c r="N20" s="116" t="s">
        <v>244</v>
      </c>
      <c r="O20" s="116" t="s">
        <v>244</v>
      </c>
      <c r="P20" s="116" t="s">
        <v>244</v>
      </c>
      <c r="Q20" s="116" t="s">
        <v>244</v>
      </c>
      <c r="R20" s="116" t="s">
        <v>244</v>
      </c>
      <c r="S20" s="116" t="s">
        <v>244</v>
      </c>
      <c r="T20" s="116" t="s">
        <v>244</v>
      </c>
      <c r="U20" s="116" t="s">
        <v>244</v>
      </c>
      <c r="V20" s="116" t="s">
        <v>244</v>
      </c>
      <c r="W20" s="116" t="s">
        <v>244</v>
      </c>
      <c r="X20" s="116" t="s">
        <v>244</v>
      </c>
      <c r="Y20" s="116" t="s">
        <v>244</v>
      </c>
      <c r="Z20" s="116" t="s">
        <v>244</v>
      </c>
    </row>
    <row r="21" spans="1:26">
      <c r="A21" s="116" t="s">
        <v>244</v>
      </c>
      <c r="B21" s="116" t="s">
        <v>244</v>
      </c>
      <c r="C21" s="116" t="s">
        <v>244</v>
      </c>
      <c r="D21" s="116" t="s">
        <v>244</v>
      </c>
      <c r="E21" s="116" t="s">
        <v>244</v>
      </c>
      <c r="F21" s="116" t="s">
        <v>244</v>
      </c>
      <c r="G21" s="116" t="s">
        <v>244</v>
      </c>
      <c r="H21" s="116" t="s">
        <v>244</v>
      </c>
      <c r="I21" s="116" t="s">
        <v>244</v>
      </c>
      <c r="J21" s="116" t="s">
        <v>244</v>
      </c>
      <c r="K21" s="116" t="s">
        <v>244</v>
      </c>
      <c r="L21" s="116" t="s">
        <v>244</v>
      </c>
      <c r="M21" s="116" t="s">
        <v>244</v>
      </c>
      <c r="N21" s="116" t="s">
        <v>244</v>
      </c>
      <c r="O21" s="116" t="s">
        <v>244</v>
      </c>
      <c r="P21" s="116" t="s">
        <v>244</v>
      </c>
      <c r="Q21" s="116" t="s">
        <v>244</v>
      </c>
      <c r="R21" s="116" t="s">
        <v>244</v>
      </c>
      <c r="S21" s="116" t="s">
        <v>244</v>
      </c>
      <c r="T21" s="116" t="s">
        <v>244</v>
      </c>
      <c r="U21" s="116" t="s">
        <v>244</v>
      </c>
      <c r="V21" s="116" t="s">
        <v>244</v>
      </c>
      <c r="W21" s="116" t="s">
        <v>244</v>
      </c>
      <c r="X21" s="116" t="s">
        <v>244</v>
      </c>
      <c r="Y21" s="116" t="s">
        <v>244</v>
      </c>
      <c r="Z21" s="116" t="s">
        <v>244</v>
      </c>
    </row>
    <row r="22" spans="1:26">
      <c r="A22" s="116" t="s">
        <v>244</v>
      </c>
      <c r="B22" s="116" t="s">
        <v>244</v>
      </c>
      <c r="C22" s="116" t="s">
        <v>244</v>
      </c>
      <c r="D22" s="116" t="s">
        <v>244</v>
      </c>
      <c r="E22" s="116" t="s">
        <v>244</v>
      </c>
      <c r="F22" s="116" t="s">
        <v>244</v>
      </c>
      <c r="G22" s="116" t="s">
        <v>244</v>
      </c>
      <c r="H22" s="116" t="s">
        <v>244</v>
      </c>
      <c r="I22" s="116" t="s">
        <v>244</v>
      </c>
      <c r="J22" s="116" t="s">
        <v>244</v>
      </c>
      <c r="K22" s="116" t="s">
        <v>244</v>
      </c>
      <c r="L22" s="116" t="s">
        <v>244</v>
      </c>
      <c r="M22" s="116" t="s">
        <v>244</v>
      </c>
      <c r="N22" s="116" t="s">
        <v>244</v>
      </c>
      <c r="O22" s="116" t="s">
        <v>244</v>
      </c>
      <c r="P22" s="116" t="s">
        <v>244</v>
      </c>
      <c r="Q22" s="116" t="s">
        <v>244</v>
      </c>
      <c r="R22" s="116" t="s">
        <v>244</v>
      </c>
      <c r="S22" s="116" t="s">
        <v>244</v>
      </c>
      <c r="T22" s="116" t="s">
        <v>244</v>
      </c>
      <c r="U22" s="116" t="s">
        <v>244</v>
      </c>
      <c r="V22" s="116" t="s">
        <v>244</v>
      </c>
      <c r="W22" s="116" t="s">
        <v>244</v>
      </c>
      <c r="X22" s="116" t="s">
        <v>244</v>
      </c>
      <c r="Y22" s="116" t="s">
        <v>244</v>
      </c>
      <c r="Z22" s="116" t="s">
        <v>244</v>
      </c>
    </row>
    <row r="23" spans="1:26">
      <c r="A23" s="116" t="s">
        <v>244</v>
      </c>
      <c r="B23" s="116" t="s">
        <v>244</v>
      </c>
      <c r="C23" s="116" t="s">
        <v>244</v>
      </c>
      <c r="D23" s="116" t="s">
        <v>244</v>
      </c>
      <c r="E23" s="116" t="s">
        <v>244</v>
      </c>
      <c r="F23" s="116" t="s">
        <v>244</v>
      </c>
      <c r="G23" s="116" t="s">
        <v>244</v>
      </c>
      <c r="H23" s="116" t="s">
        <v>244</v>
      </c>
      <c r="I23" s="116" t="s">
        <v>244</v>
      </c>
      <c r="J23" s="116" t="s">
        <v>244</v>
      </c>
      <c r="K23" s="116" t="s">
        <v>244</v>
      </c>
      <c r="L23" s="116" t="s">
        <v>244</v>
      </c>
      <c r="M23" s="116" t="s">
        <v>244</v>
      </c>
      <c r="N23" s="116" t="s">
        <v>244</v>
      </c>
      <c r="O23" s="116" t="s">
        <v>244</v>
      </c>
      <c r="P23" s="116" t="s">
        <v>244</v>
      </c>
      <c r="Q23" s="116" t="s">
        <v>244</v>
      </c>
      <c r="R23" s="116" t="s">
        <v>244</v>
      </c>
      <c r="S23" s="116" t="s">
        <v>244</v>
      </c>
      <c r="T23" s="116" t="s">
        <v>244</v>
      </c>
      <c r="U23" s="116" t="s">
        <v>244</v>
      </c>
      <c r="V23" s="116" t="s">
        <v>244</v>
      </c>
      <c r="W23" s="116" t="s">
        <v>244</v>
      </c>
      <c r="X23" s="116" t="s">
        <v>244</v>
      </c>
      <c r="Y23" s="116" t="s">
        <v>244</v>
      </c>
      <c r="Z23" s="116" t="s">
        <v>244</v>
      </c>
    </row>
    <row r="24" spans="1:26">
      <c r="A24" s="116" t="s">
        <v>244</v>
      </c>
      <c r="B24" s="116" t="s">
        <v>244</v>
      </c>
      <c r="C24" s="116" t="s">
        <v>244</v>
      </c>
      <c r="D24" s="116" t="s">
        <v>244</v>
      </c>
      <c r="E24" s="116" t="s">
        <v>244</v>
      </c>
      <c r="F24" s="116" t="s">
        <v>244</v>
      </c>
      <c r="G24" s="116" t="s">
        <v>244</v>
      </c>
      <c r="H24" s="116" t="s">
        <v>244</v>
      </c>
      <c r="I24" s="116" t="s">
        <v>244</v>
      </c>
      <c r="J24" s="116" t="s">
        <v>244</v>
      </c>
      <c r="K24" s="116" t="s">
        <v>244</v>
      </c>
      <c r="L24" s="116" t="s">
        <v>244</v>
      </c>
      <c r="M24" s="116" t="s">
        <v>244</v>
      </c>
      <c r="N24" s="116" t="s">
        <v>244</v>
      </c>
      <c r="O24" s="116" t="s">
        <v>244</v>
      </c>
      <c r="P24" s="116" t="s">
        <v>244</v>
      </c>
      <c r="Q24" s="116" t="s">
        <v>244</v>
      </c>
      <c r="R24" s="116" t="s">
        <v>244</v>
      </c>
      <c r="S24" s="116" t="s">
        <v>244</v>
      </c>
      <c r="T24" s="116" t="s">
        <v>244</v>
      </c>
      <c r="U24" s="116" t="s">
        <v>244</v>
      </c>
      <c r="V24" s="116" t="s">
        <v>244</v>
      </c>
      <c r="W24" s="116" t="s">
        <v>244</v>
      </c>
      <c r="X24" s="116" t="s">
        <v>244</v>
      </c>
      <c r="Y24" s="116" t="s">
        <v>244</v>
      </c>
      <c r="Z24" s="116" t="s">
        <v>244</v>
      </c>
    </row>
    <row r="28" spans="1:26">
      <c r="A28" s="55"/>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5"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425" t="s">
        <v>9</v>
      </c>
      <c r="B3" s="425"/>
      <c r="C3" s="425"/>
      <c r="D3" s="425"/>
      <c r="E3" s="425"/>
      <c r="F3" s="425"/>
      <c r="G3" s="425"/>
      <c r="H3" s="425"/>
      <c r="I3" s="425"/>
      <c r="J3" s="425"/>
      <c r="K3" s="425"/>
      <c r="L3" s="425"/>
      <c r="M3" s="425"/>
      <c r="N3" s="425"/>
      <c r="O3" s="425"/>
      <c r="P3" s="11"/>
      <c r="Q3" s="11"/>
      <c r="R3" s="11"/>
      <c r="S3" s="11"/>
      <c r="T3" s="11"/>
      <c r="U3" s="11"/>
      <c r="V3" s="11"/>
      <c r="W3" s="11"/>
      <c r="X3" s="11"/>
      <c r="Y3" s="11"/>
      <c r="Z3" s="11"/>
    </row>
    <row r="4" spans="1:28" s="10" customFormat="1" ht="18.75">
      <c r="A4" s="425"/>
      <c r="B4" s="425"/>
      <c r="C4" s="425"/>
      <c r="D4" s="425"/>
      <c r="E4" s="425"/>
      <c r="F4" s="425"/>
      <c r="G4" s="425"/>
      <c r="H4" s="425"/>
      <c r="I4" s="425"/>
      <c r="J4" s="425"/>
      <c r="K4" s="425"/>
      <c r="L4" s="425"/>
      <c r="M4" s="425"/>
      <c r="N4" s="425"/>
      <c r="O4" s="425"/>
      <c r="P4" s="11"/>
      <c r="Q4" s="11"/>
      <c r="R4" s="11"/>
      <c r="S4" s="11"/>
      <c r="T4" s="11"/>
      <c r="U4" s="11"/>
      <c r="V4" s="11"/>
      <c r="W4" s="11"/>
      <c r="X4" s="11"/>
      <c r="Y4" s="11"/>
      <c r="Z4" s="11"/>
    </row>
    <row r="5" spans="1:28" s="10" customFormat="1" ht="18.75">
      <c r="A5" s="42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23"/>
      <c r="C5" s="423"/>
      <c r="D5" s="423"/>
      <c r="E5" s="423"/>
      <c r="F5" s="423"/>
      <c r="G5" s="423"/>
      <c r="H5" s="423"/>
      <c r="I5" s="423"/>
      <c r="J5" s="423"/>
      <c r="K5" s="423"/>
      <c r="L5" s="423"/>
      <c r="M5" s="423"/>
      <c r="N5" s="423"/>
      <c r="O5" s="423"/>
      <c r="P5" s="11"/>
      <c r="Q5" s="11"/>
      <c r="R5" s="11"/>
      <c r="S5" s="11"/>
      <c r="T5" s="11"/>
      <c r="U5" s="11"/>
      <c r="V5" s="11"/>
      <c r="W5" s="11"/>
      <c r="X5" s="11"/>
      <c r="Y5" s="11"/>
      <c r="Z5" s="11"/>
    </row>
    <row r="6" spans="1:28" s="10" customFormat="1" ht="18.75">
      <c r="A6" s="424" t="s">
        <v>8</v>
      </c>
      <c r="B6" s="424"/>
      <c r="C6" s="424"/>
      <c r="D6" s="424"/>
      <c r="E6" s="424"/>
      <c r="F6" s="424"/>
      <c r="G6" s="424"/>
      <c r="H6" s="424"/>
      <c r="I6" s="424"/>
      <c r="J6" s="424"/>
      <c r="K6" s="424"/>
      <c r="L6" s="424"/>
      <c r="M6" s="424"/>
      <c r="N6" s="424"/>
      <c r="O6" s="424"/>
      <c r="P6" s="11"/>
      <c r="Q6" s="11"/>
      <c r="R6" s="11"/>
      <c r="S6" s="11"/>
      <c r="T6" s="11"/>
      <c r="U6" s="11"/>
      <c r="V6" s="11"/>
      <c r="W6" s="11"/>
      <c r="X6" s="11"/>
      <c r="Y6" s="11"/>
      <c r="Z6" s="11"/>
    </row>
    <row r="7" spans="1:28" s="10" customFormat="1" ht="18.75">
      <c r="A7" s="425"/>
      <c r="B7" s="425"/>
      <c r="C7" s="425"/>
      <c r="D7" s="425"/>
      <c r="E7" s="425"/>
      <c r="F7" s="425"/>
      <c r="G7" s="425"/>
      <c r="H7" s="425"/>
      <c r="I7" s="425"/>
      <c r="J7" s="425"/>
      <c r="K7" s="425"/>
      <c r="L7" s="425"/>
      <c r="M7" s="425"/>
      <c r="N7" s="425"/>
      <c r="O7" s="425"/>
      <c r="P7" s="11"/>
      <c r="Q7" s="11"/>
      <c r="R7" s="11"/>
      <c r="S7" s="11"/>
      <c r="T7" s="11"/>
      <c r="U7" s="11"/>
      <c r="V7" s="11"/>
      <c r="W7" s="11"/>
      <c r="X7" s="11"/>
      <c r="Y7" s="11"/>
      <c r="Z7" s="11"/>
    </row>
    <row r="8" spans="1:28" s="10" customFormat="1" ht="18.75">
      <c r="A8" s="423" t="str">
        <f>' 1. паспорт местополож'!A8:C8</f>
        <v>J_ДВОСТ-149</v>
      </c>
      <c r="B8" s="423"/>
      <c r="C8" s="423"/>
      <c r="D8" s="423"/>
      <c r="E8" s="423"/>
      <c r="F8" s="423"/>
      <c r="G8" s="423"/>
      <c r="H8" s="423"/>
      <c r="I8" s="423"/>
      <c r="J8" s="423"/>
      <c r="K8" s="423"/>
      <c r="L8" s="423"/>
      <c r="M8" s="423"/>
      <c r="N8" s="423"/>
      <c r="O8" s="423"/>
      <c r="P8" s="11"/>
      <c r="Q8" s="11"/>
      <c r="R8" s="11"/>
      <c r="S8" s="11"/>
      <c r="T8" s="11"/>
      <c r="U8" s="11"/>
      <c r="V8" s="11"/>
      <c r="W8" s="11"/>
      <c r="X8" s="11"/>
      <c r="Y8" s="11"/>
      <c r="Z8" s="11"/>
    </row>
    <row r="9" spans="1:28" s="10" customFormat="1" ht="18.75">
      <c r="A9" s="424" t="s">
        <v>7</v>
      </c>
      <c r="B9" s="424"/>
      <c r="C9" s="424"/>
      <c r="D9" s="424"/>
      <c r="E9" s="424"/>
      <c r="F9" s="424"/>
      <c r="G9" s="424"/>
      <c r="H9" s="424"/>
      <c r="I9" s="424"/>
      <c r="J9" s="424"/>
      <c r="K9" s="424"/>
      <c r="L9" s="424"/>
      <c r="M9" s="424"/>
      <c r="N9" s="424"/>
      <c r="O9" s="424"/>
      <c r="P9" s="11"/>
      <c r="Q9" s="11"/>
      <c r="R9" s="11"/>
      <c r="S9" s="11"/>
      <c r="T9" s="11"/>
      <c r="U9" s="11"/>
      <c r="V9" s="11"/>
      <c r="W9" s="11"/>
      <c r="X9" s="11"/>
      <c r="Y9" s="11"/>
      <c r="Z9" s="11"/>
    </row>
    <row r="10" spans="1:28" s="7" customFormat="1" ht="15.75" customHeight="1">
      <c r="A10" s="426"/>
      <c r="B10" s="426"/>
      <c r="C10" s="426"/>
      <c r="D10" s="426"/>
      <c r="E10" s="426"/>
      <c r="F10" s="426"/>
      <c r="G10" s="426"/>
      <c r="H10" s="426"/>
      <c r="I10" s="426"/>
      <c r="J10" s="426"/>
      <c r="K10" s="426"/>
      <c r="L10" s="426"/>
      <c r="M10" s="426"/>
      <c r="N10" s="426"/>
      <c r="O10" s="426"/>
      <c r="P10" s="8"/>
      <c r="Q10" s="8"/>
      <c r="R10" s="8"/>
      <c r="S10" s="8"/>
      <c r="T10" s="8"/>
      <c r="U10" s="8"/>
      <c r="V10" s="8"/>
      <c r="W10" s="8"/>
      <c r="X10" s="8"/>
      <c r="Y10" s="8"/>
      <c r="Z10" s="8"/>
    </row>
    <row r="11" spans="1:28" s="2" customFormat="1" ht="16.5">
      <c r="A11" s="423" t="str">
        <f>' 1. паспорт местополож'!A11:C11</f>
        <v xml:space="preserve">Техническое перевооружение объекта "Оборудование кТП-15" ТП-15. </v>
      </c>
      <c r="B11" s="423"/>
      <c r="C11" s="423"/>
      <c r="D11" s="423"/>
      <c r="E11" s="423"/>
      <c r="F11" s="423"/>
      <c r="G11" s="423"/>
      <c r="H11" s="423"/>
      <c r="I11" s="423"/>
      <c r="J11" s="423"/>
      <c r="K11" s="423"/>
      <c r="L11" s="423"/>
      <c r="M11" s="423"/>
      <c r="N11" s="423"/>
      <c r="O11" s="423"/>
      <c r="P11" s="6"/>
      <c r="Q11" s="6"/>
      <c r="R11" s="6"/>
      <c r="S11" s="6"/>
      <c r="T11" s="6"/>
      <c r="U11" s="6"/>
      <c r="V11" s="6"/>
      <c r="W11" s="6"/>
      <c r="X11" s="6"/>
      <c r="Y11" s="6"/>
      <c r="Z11" s="6"/>
    </row>
    <row r="12" spans="1:28" s="2" customFormat="1" ht="15" customHeight="1">
      <c r="A12" s="424" t="s">
        <v>5</v>
      </c>
      <c r="B12" s="424"/>
      <c r="C12" s="424"/>
      <c r="D12" s="424"/>
      <c r="E12" s="424"/>
      <c r="F12" s="424"/>
      <c r="G12" s="424"/>
      <c r="H12" s="424"/>
      <c r="I12" s="424"/>
      <c r="J12" s="424"/>
      <c r="K12" s="424"/>
      <c r="L12" s="424"/>
      <c r="M12" s="424"/>
      <c r="N12" s="424"/>
      <c r="O12" s="424"/>
      <c r="P12" s="4"/>
      <c r="Q12" s="4"/>
      <c r="R12" s="4"/>
      <c r="S12" s="4"/>
      <c r="T12" s="4"/>
      <c r="U12" s="4"/>
      <c r="V12" s="4"/>
      <c r="W12" s="4"/>
      <c r="X12" s="4"/>
      <c r="Y12" s="4"/>
      <c r="Z12" s="4"/>
    </row>
    <row r="13" spans="1:28" s="2" customFormat="1" ht="42.75" customHeight="1">
      <c r="A13" s="424"/>
      <c r="B13" s="424"/>
      <c r="C13" s="424"/>
      <c r="D13" s="424"/>
      <c r="E13" s="424"/>
      <c r="F13" s="424"/>
      <c r="G13" s="424"/>
      <c r="H13" s="424"/>
      <c r="I13" s="424"/>
      <c r="J13" s="424"/>
      <c r="K13" s="424"/>
      <c r="L13" s="424"/>
      <c r="M13" s="424"/>
      <c r="N13" s="424"/>
      <c r="O13" s="424"/>
      <c r="P13" s="3"/>
      <c r="Q13" s="3"/>
      <c r="R13" s="3"/>
      <c r="S13" s="3"/>
      <c r="T13" s="3"/>
      <c r="U13" s="3"/>
      <c r="V13" s="3"/>
      <c r="W13" s="3"/>
    </row>
    <row r="14" spans="1:28" s="2" customFormat="1" ht="46.5" customHeight="1">
      <c r="A14" s="431" t="s">
        <v>203</v>
      </c>
      <c r="B14" s="431"/>
      <c r="C14" s="431"/>
      <c r="D14" s="431"/>
      <c r="E14" s="431"/>
      <c r="F14" s="431"/>
      <c r="G14" s="431"/>
      <c r="H14" s="431"/>
      <c r="I14" s="431"/>
      <c r="J14" s="431"/>
      <c r="K14" s="431"/>
      <c r="L14" s="431"/>
      <c r="M14" s="431"/>
      <c r="N14" s="431"/>
      <c r="O14" s="431"/>
      <c r="P14" s="5"/>
      <c r="Q14" s="5"/>
      <c r="R14" s="5"/>
      <c r="S14" s="5"/>
      <c r="T14" s="5"/>
      <c r="U14" s="5"/>
      <c r="V14" s="5"/>
      <c r="W14" s="5"/>
      <c r="X14" s="5"/>
      <c r="Y14" s="5"/>
      <c r="Z14" s="5"/>
    </row>
    <row r="15" spans="1:28" s="2" customFormat="1" ht="56.25" customHeight="1">
      <c r="A15" s="430"/>
      <c r="B15" s="430"/>
      <c r="C15" s="430"/>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397" t="s">
        <v>4</v>
      </c>
      <c r="B16" s="397" t="s">
        <v>42</v>
      </c>
      <c r="C16" s="397" t="s">
        <v>41</v>
      </c>
      <c r="D16" s="397" t="s">
        <v>30</v>
      </c>
      <c r="E16" s="427" t="s">
        <v>40</v>
      </c>
      <c r="F16" s="428"/>
      <c r="G16" s="428"/>
      <c r="H16" s="428"/>
      <c r="I16" s="429"/>
      <c r="J16" s="397" t="s">
        <v>39</v>
      </c>
      <c r="K16" s="397"/>
      <c r="L16" s="397"/>
      <c r="M16" s="397"/>
      <c r="N16" s="397"/>
      <c r="O16" s="397"/>
      <c r="P16" s="3"/>
      <c r="Q16" s="3"/>
      <c r="R16" s="3"/>
      <c r="S16" s="3"/>
      <c r="T16" s="3"/>
      <c r="U16" s="3"/>
      <c r="V16" s="3"/>
      <c r="W16" s="3"/>
    </row>
    <row r="17" spans="1:26" s="2" customFormat="1" ht="77.25" customHeight="1">
      <c r="A17" s="397"/>
      <c r="B17" s="397"/>
      <c r="C17" s="397"/>
      <c r="D17" s="397"/>
      <c r="E17" s="79" t="s">
        <v>38</v>
      </c>
      <c r="F17" s="79" t="s">
        <v>37</v>
      </c>
      <c r="G17" s="79" t="s">
        <v>36</v>
      </c>
      <c r="H17" s="79" t="s">
        <v>35</v>
      </c>
      <c r="I17" s="79" t="s">
        <v>34</v>
      </c>
      <c r="J17" s="79" t="s">
        <v>33</v>
      </c>
      <c r="K17" s="79" t="s">
        <v>3</v>
      </c>
      <c r="L17" s="94" t="s">
        <v>2</v>
      </c>
      <c r="M17" s="94" t="s">
        <v>118</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s>
  <pageMargins left="0" right="0"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R103"/>
  <sheetViews>
    <sheetView view="pageBreakPreview" topLeftCell="A62" zoomScale="80" zoomScaleNormal="40" zoomScaleSheetLayoutView="80" workbookViewId="0">
      <selection activeCell="AP23" sqref="AP23"/>
    </sheetView>
  </sheetViews>
  <sheetFormatPr defaultRowHeight="27.75" customHeight="1" outlineLevelRow="1"/>
  <cols>
    <col min="1" max="1" width="51.28515625" style="139" customWidth="1"/>
    <col min="2" max="2" width="18.5703125" style="139" customWidth="1"/>
    <col min="3" max="3" width="19" style="139" customWidth="1"/>
    <col min="4" max="4" width="17.28515625" style="139" customWidth="1"/>
    <col min="5" max="5" width="20.85546875" style="139" customWidth="1"/>
    <col min="6" max="6" width="20.7109375" style="139" customWidth="1"/>
    <col min="7" max="7" width="17.7109375" style="139" customWidth="1"/>
    <col min="8" max="8" width="18.85546875" style="139" customWidth="1"/>
    <col min="9" max="9" width="17" style="139" customWidth="1"/>
    <col min="10" max="10" width="16.7109375" style="139" customWidth="1"/>
    <col min="11" max="11" width="16" style="139" customWidth="1"/>
    <col min="12" max="12" width="15.85546875" style="139" customWidth="1"/>
    <col min="13" max="13" width="16.28515625" style="139" customWidth="1"/>
    <col min="14" max="14" width="15.85546875" style="139" customWidth="1"/>
    <col min="15" max="15" width="16.140625" style="139" customWidth="1"/>
    <col min="16" max="16" width="18.28515625" style="139" customWidth="1"/>
    <col min="17" max="17" width="15.42578125" style="139" customWidth="1"/>
    <col min="18" max="18" width="15" style="139" customWidth="1"/>
    <col min="19" max="20" width="15.85546875" style="139" customWidth="1"/>
    <col min="21" max="21" width="15.28515625" style="139" customWidth="1"/>
    <col min="22" max="22" width="16" style="139" customWidth="1"/>
    <col min="23" max="23" width="15.85546875" style="139" hidden="1" customWidth="1"/>
    <col min="24" max="24" width="16.140625" style="139" hidden="1" customWidth="1"/>
    <col min="25" max="25" width="15.7109375" style="139" hidden="1" customWidth="1"/>
    <col min="26" max="26" width="16.5703125" style="139" hidden="1" customWidth="1"/>
    <col min="27" max="27" width="15.5703125" style="139" hidden="1" customWidth="1"/>
    <col min="28" max="28" width="14.5703125" style="139" hidden="1" customWidth="1"/>
    <col min="29" max="29" width="17.28515625" style="139" hidden="1" customWidth="1"/>
    <col min="30" max="30" width="18.85546875" style="139" hidden="1" customWidth="1"/>
    <col min="31" max="31" width="13.140625" style="339" bestFit="1" customWidth="1"/>
    <col min="32" max="32" width="14.140625" style="139" customWidth="1"/>
    <col min="33" max="33" width="10.42578125" style="139" customWidth="1"/>
    <col min="34" max="34" width="9.140625" style="139"/>
    <col min="35" max="35" width="11.42578125" style="139" bestFit="1" customWidth="1"/>
    <col min="36" max="36" width="13.140625" style="139" bestFit="1" customWidth="1"/>
    <col min="37" max="37" width="9.140625" style="139"/>
    <col min="38" max="38" width="11.85546875" style="139" customWidth="1"/>
    <col min="39" max="39" width="9.140625" style="139"/>
    <col min="40" max="40" width="13.140625" style="139" bestFit="1" customWidth="1"/>
    <col min="41" max="256" width="9.140625" style="139"/>
    <col min="257" max="257" width="51.28515625" style="139" customWidth="1"/>
    <col min="258" max="258" width="18.5703125" style="139" customWidth="1"/>
    <col min="259" max="259" width="16.7109375" style="139" customWidth="1"/>
    <col min="260" max="260" width="15.85546875" style="139" customWidth="1"/>
    <col min="261" max="261" width="17.7109375" style="139" customWidth="1"/>
    <col min="262" max="262" width="20.28515625" style="139" customWidth="1"/>
    <col min="263" max="263" width="17.7109375" style="139" customWidth="1"/>
    <col min="264" max="264" width="18.85546875" style="139" customWidth="1"/>
    <col min="265" max="265" width="17" style="139" customWidth="1"/>
    <col min="266" max="266" width="16.7109375" style="139" customWidth="1"/>
    <col min="267" max="267" width="16" style="139" customWidth="1"/>
    <col min="268" max="268" width="15.85546875" style="139" customWidth="1"/>
    <col min="269" max="269" width="16.28515625" style="139" customWidth="1"/>
    <col min="270" max="270" width="15.85546875" style="139" customWidth="1"/>
    <col min="271" max="271" width="16.140625" style="139" customWidth="1"/>
    <col min="272" max="272" width="18.28515625" style="139" customWidth="1"/>
    <col min="273" max="273" width="15.42578125" style="139" customWidth="1"/>
    <col min="274" max="274" width="15" style="139" customWidth="1"/>
    <col min="275" max="276" width="15.85546875" style="139" customWidth="1"/>
    <col min="277" max="277" width="15.28515625" style="139" customWidth="1"/>
    <col min="278" max="278" width="16" style="139" customWidth="1"/>
    <col min="279" max="279" width="15.85546875" style="139" customWidth="1"/>
    <col min="280" max="280" width="16.140625" style="139" customWidth="1"/>
    <col min="281" max="281" width="15.7109375" style="139" customWidth="1"/>
    <col min="282" max="282" width="16.5703125" style="139" customWidth="1"/>
    <col min="283" max="283" width="15.5703125" style="139" customWidth="1"/>
    <col min="284" max="284" width="14.5703125" style="139" customWidth="1"/>
    <col min="285" max="285" width="17.28515625" style="139" customWidth="1"/>
    <col min="286" max="286" width="18.85546875" style="139" customWidth="1"/>
    <col min="287" max="512" width="9.140625" style="139"/>
    <col min="513" max="513" width="51.28515625" style="139" customWidth="1"/>
    <col min="514" max="514" width="18.5703125" style="139" customWidth="1"/>
    <col min="515" max="515" width="16.7109375" style="139" customWidth="1"/>
    <col min="516" max="516" width="15.85546875" style="139" customWidth="1"/>
    <col min="517" max="517" width="17.7109375" style="139" customWidth="1"/>
    <col min="518" max="518" width="20.28515625" style="139" customWidth="1"/>
    <col min="519" max="519" width="17.7109375" style="139" customWidth="1"/>
    <col min="520" max="520" width="18.85546875" style="139" customWidth="1"/>
    <col min="521" max="521" width="17" style="139" customWidth="1"/>
    <col min="522" max="522" width="16.7109375" style="139" customWidth="1"/>
    <col min="523" max="523" width="16" style="139" customWidth="1"/>
    <col min="524" max="524" width="15.85546875" style="139" customWidth="1"/>
    <col min="525" max="525" width="16.28515625" style="139" customWidth="1"/>
    <col min="526" max="526" width="15.85546875" style="139" customWidth="1"/>
    <col min="527" max="527" width="16.140625" style="139" customWidth="1"/>
    <col min="528" max="528" width="18.28515625" style="139" customWidth="1"/>
    <col min="529" max="529" width="15.42578125" style="139" customWidth="1"/>
    <col min="530" max="530" width="15" style="139" customWidth="1"/>
    <col min="531" max="532" width="15.85546875" style="139" customWidth="1"/>
    <col min="533" max="533" width="15.28515625" style="139" customWidth="1"/>
    <col min="534" max="534" width="16" style="139" customWidth="1"/>
    <col min="535" max="535" width="15.85546875" style="139" customWidth="1"/>
    <col min="536" max="536" width="16.140625" style="139" customWidth="1"/>
    <col min="537" max="537" width="15.7109375" style="139" customWidth="1"/>
    <col min="538" max="538" width="16.5703125" style="139" customWidth="1"/>
    <col min="539" max="539" width="15.5703125" style="139" customWidth="1"/>
    <col min="540" max="540" width="14.5703125" style="139" customWidth="1"/>
    <col min="541" max="541" width="17.28515625" style="139" customWidth="1"/>
    <col min="542" max="542" width="18.85546875" style="139" customWidth="1"/>
    <col min="543" max="768" width="9.140625" style="139"/>
    <col min="769" max="769" width="51.28515625" style="139" customWidth="1"/>
    <col min="770" max="770" width="18.5703125" style="139" customWidth="1"/>
    <col min="771" max="771" width="16.7109375" style="139" customWidth="1"/>
    <col min="772" max="772" width="15.85546875" style="139" customWidth="1"/>
    <col min="773" max="773" width="17.7109375" style="139" customWidth="1"/>
    <col min="774" max="774" width="20.28515625" style="139" customWidth="1"/>
    <col min="775" max="775" width="17.7109375" style="139" customWidth="1"/>
    <col min="776" max="776" width="18.85546875" style="139" customWidth="1"/>
    <col min="777" max="777" width="17" style="139" customWidth="1"/>
    <col min="778" max="778" width="16.7109375" style="139" customWidth="1"/>
    <col min="779" max="779" width="16" style="139" customWidth="1"/>
    <col min="780" max="780" width="15.85546875" style="139" customWidth="1"/>
    <col min="781" max="781" width="16.28515625" style="139" customWidth="1"/>
    <col min="782" max="782" width="15.85546875" style="139" customWidth="1"/>
    <col min="783" max="783" width="16.140625" style="139" customWidth="1"/>
    <col min="784" max="784" width="18.28515625" style="139" customWidth="1"/>
    <col min="785" max="785" width="15.42578125" style="139" customWidth="1"/>
    <col min="786" max="786" width="15" style="139" customWidth="1"/>
    <col min="787" max="788" width="15.85546875" style="139" customWidth="1"/>
    <col min="789" max="789" width="15.28515625" style="139" customWidth="1"/>
    <col min="790" max="790" width="16" style="139" customWidth="1"/>
    <col min="791" max="791" width="15.85546875" style="139" customWidth="1"/>
    <col min="792" max="792" width="16.140625" style="139" customWidth="1"/>
    <col min="793" max="793" width="15.7109375" style="139" customWidth="1"/>
    <col min="794" max="794" width="16.5703125" style="139" customWidth="1"/>
    <col min="795" max="795" width="15.5703125" style="139" customWidth="1"/>
    <col min="796" max="796" width="14.5703125" style="139" customWidth="1"/>
    <col min="797" max="797" width="17.28515625" style="139" customWidth="1"/>
    <col min="798" max="798" width="18.85546875" style="139" customWidth="1"/>
    <col min="799" max="1024" width="9.140625" style="139"/>
    <col min="1025" max="1025" width="51.28515625" style="139" customWidth="1"/>
    <col min="1026" max="1026" width="18.5703125" style="139" customWidth="1"/>
    <col min="1027" max="1027" width="16.7109375" style="139" customWidth="1"/>
    <col min="1028" max="1028" width="15.85546875" style="139" customWidth="1"/>
    <col min="1029" max="1029" width="17.7109375" style="139" customWidth="1"/>
    <col min="1030" max="1030" width="20.28515625" style="139" customWidth="1"/>
    <col min="1031" max="1031" width="17.7109375" style="139" customWidth="1"/>
    <col min="1032" max="1032" width="18.85546875" style="139" customWidth="1"/>
    <col min="1033" max="1033" width="17" style="139" customWidth="1"/>
    <col min="1034" max="1034" width="16.7109375" style="139" customWidth="1"/>
    <col min="1035" max="1035" width="16" style="139" customWidth="1"/>
    <col min="1036" max="1036" width="15.85546875" style="139" customWidth="1"/>
    <col min="1037" max="1037" width="16.28515625" style="139" customWidth="1"/>
    <col min="1038" max="1038" width="15.85546875" style="139" customWidth="1"/>
    <col min="1039" max="1039" width="16.140625" style="139" customWidth="1"/>
    <col min="1040" max="1040" width="18.28515625" style="139" customWidth="1"/>
    <col min="1041" max="1041" width="15.42578125" style="139" customWidth="1"/>
    <col min="1042" max="1042" width="15" style="139" customWidth="1"/>
    <col min="1043" max="1044" width="15.85546875" style="139" customWidth="1"/>
    <col min="1045" max="1045" width="15.28515625" style="139" customWidth="1"/>
    <col min="1046" max="1046" width="16" style="139" customWidth="1"/>
    <col min="1047" max="1047" width="15.85546875" style="139" customWidth="1"/>
    <col min="1048" max="1048" width="16.140625" style="139" customWidth="1"/>
    <col min="1049" max="1049" width="15.7109375" style="139" customWidth="1"/>
    <col min="1050" max="1050" width="16.5703125" style="139" customWidth="1"/>
    <col min="1051" max="1051" width="15.5703125" style="139" customWidth="1"/>
    <col min="1052" max="1052" width="14.5703125" style="139" customWidth="1"/>
    <col min="1053" max="1053" width="17.28515625" style="139" customWidth="1"/>
    <col min="1054" max="1054" width="18.85546875" style="139" customWidth="1"/>
    <col min="1055" max="1280" width="9.140625" style="139"/>
    <col min="1281" max="1281" width="51.28515625" style="139" customWidth="1"/>
    <col min="1282" max="1282" width="18.5703125" style="139" customWidth="1"/>
    <col min="1283" max="1283" width="16.7109375" style="139" customWidth="1"/>
    <col min="1284" max="1284" width="15.85546875" style="139" customWidth="1"/>
    <col min="1285" max="1285" width="17.7109375" style="139" customWidth="1"/>
    <col min="1286" max="1286" width="20.28515625" style="139" customWidth="1"/>
    <col min="1287" max="1287" width="17.7109375" style="139" customWidth="1"/>
    <col min="1288" max="1288" width="18.85546875" style="139" customWidth="1"/>
    <col min="1289" max="1289" width="17" style="139" customWidth="1"/>
    <col min="1290" max="1290" width="16.7109375" style="139" customWidth="1"/>
    <col min="1291" max="1291" width="16" style="139" customWidth="1"/>
    <col min="1292" max="1292" width="15.85546875" style="139" customWidth="1"/>
    <col min="1293" max="1293" width="16.28515625" style="139" customWidth="1"/>
    <col min="1294" max="1294" width="15.85546875" style="139" customWidth="1"/>
    <col min="1295" max="1295" width="16.140625" style="139" customWidth="1"/>
    <col min="1296" max="1296" width="18.28515625" style="139" customWidth="1"/>
    <col min="1297" max="1297" width="15.42578125" style="139" customWidth="1"/>
    <col min="1298" max="1298" width="15" style="139" customWidth="1"/>
    <col min="1299" max="1300" width="15.85546875" style="139" customWidth="1"/>
    <col min="1301" max="1301" width="15.28515625" style="139" customWidth="1"/>
    <col min="1302" max="1302" width="16" style="139" customWidth="1"/>
    <col min="1303" max="1303" width="15.85546875" style="139" customWidth="1"/>
    <col min="1304" max="1304" width="16.140625" style="139" customWidth="1"/>
    <col min="1305" max="1305" width="15.7109375" style="139" customWidth="1"/>
    <col min="1306" max="1306" width="16.5703125" style="139" customWidth="1"/>
    <col min="1307" max="1307" width="15.5703125" style="139" customWidth="1"/>
    <col min="1308" max="1308" width="14.5703125" style="139" customWidth="1"/>
    <col min="1309" max="1309" width="17.28515625" style="139" customWidth="1"/>
    <col min="1310" max="1310" width="18.85546875" style="139" customWidth="1"/>
    <col min="1311" max="1536" width="9.140625" style="139"/>
    <col min="1537" max="1537" width="51.28515625" style="139" customWidth="1"/>
    <col min="1538" max="1538" width="18.5703125" style="139" customWidth="1"/>
    <col min="1539" max="1539" width="16.7109375" style="139" customWidth="1"/>
    <col min="1540" max="1540" width="15.85546875" style="139" customWidth="1"/>
    <col min="1541" max="1541" width="17.7109375" style="139" customWidth="1"/>
    <col min="1542" max="1542" width="20.28515625" style="139" customWidth="1"/>
    <col min="1543" max="1543" width="17.7109375" style="139" customWidth="1"/>
    <col min="1544" max="1544" width="18.85546875" style="139" customWidth="1"/>
    <col min="1545" max="1545" width="17" style="139" customWidth="1"/>
    <col min="1546" max="1546" width="16.7109375" style="139" customWidth="1"/>
    <col min="1547" max="1547" width="16" style="139" customWidth="1"/>
    <col min="1548" max="1548" width="15.85546875" style="139" customWidth="1"/>
    <col min="1549" max="1549" width="16.28515625" style="139" customWidth="1"/>
    <col min="1550" max="1550" width="15.85546875" style="139" customWidth="1"/>
    <col min="1551" max="1551" width="16.140625" style="139" customWidth="1"/>
    <col min="1552" max="1552" width="18.28515625" style="139" customWidth="1"/>
    <col min="1553" max="1553" width="15.42578125" style="139" customWidth="1"/>
    <col min="1554" max="1554" width="15" style="139" customWidth="1"/>
    <col min="1555" max="1556" width="15.85546875" style="139" customWidth="1"/>
    <col min="1557" max="1557" width="15.28515625" style="139" customWidth="1"/>
    <col min="1558" max="1558" width="16" style="139" customWidth="1"/>
    <col min="1559" max="1559" width="15.85546875" style="139" customWidth="1"/>
    <col min="1560" max="1560" width="16.140625" style="139" customWidth="1"/>
    <col min="1561" max="1561" width="15.7109375" style="139" customWidth="1"/>
    <col min="1562" max="1562" width="16.5703125" style="139" customWidth="1"/>
    <col min="1563" max="1563" width="15.5703125" style="139" customWidth="1"/>
    <col min="1564" max="1564" width="14.5703125" style="139" customWidth="1"/>
    <col min="1565" max="1565" width="17.28515625" style="139" customWidth="1"/>
    <col min="1566" max="1566" width="18.85546875" style="139" customWidth="1"/>
    <col min="1567" max="1792" width="9.140625" style="139"/>
    <col min="1793" max="1793" width="51.28515625" style="139" customWidth="1"/>
    <col min="1794" max="1794" width="18.5703125" style="139" customWidth="1"/>
    <col min="1795" max="1795" width="16.7109375" style="139" customWidth="1"/>
    <col min="1796" max="1796" width="15.85546875" style="139" customWidth="1"/>
    <col min="1797" max="1797" width="17.7109375" style="139" customWidth="1"/>
    <col min="1798" max="1798" width="20.28515625" style="139" customWidth="1"/>
    <col min="1799" max="1799" width="17.7109375" style="139" customWidth="1"/>
    <col min="1800" max="1800" width="18.85546875" style="139" customWidth="1"/>
    <col min="1801" max="1801" width="17" style="139" customWidth="1"/>
    <col min="1802" max="1802" width="16.7109375" style="139" customWidth="1"/>
    <col min="1803" max="1803" width="16" style="139" customWidth="1"/>
    <col min="1804" max="1804" width="15.85546875" style="139" customWidth="1"/>
    <col min="1805" max="1805" width="16.28515625" style="139" customWidth="1"/>
    <col min="1806" max="1806" width="15.85546875" style="139" customWidth="1"/>
    <col min="1807" max="1807" width="16.140625" style="139" customWidth="1"/>
    <col min="1808" max="1808" width="18.28515625" style="139" customWidth="1"/>
    <col min="1809" max="1809" width="15.42578125" style="139" customWidth="1"/>
    <col min="1810" max="1810" width="15" style="139" customWidth="1"/>
    <col min="1811" max="1812" width="15.85546875" style="139" customWidth="1"/>
    <col min="1813" max="1813" width="15.28515625" style="139" customWidth="1"/>
    <col min="1814" max="1814" width="16" style="139" customWidth="1"/>
    <col min="1815" max="1815" width="15.85546875" style="139" customWidth="1"/>
    <col min="1816" max="1816" width="16.140625" style="139" customWidth="1"/>
    <col min="1817" max="1817" width="15.7109375" style="139" customWidth="1"/>
    <col min="1818" max="1818" width="16.5703125" style="139" customWidth="1"/>
    <col min="1819" max="1819" width="15.5703125" style="139" customWidth="1"/>
    <col min="1820" max="1820" width="14.5703125" style="139" customWidth="1"/>
    <col min="1821" max="1821" width="17.28515625" style="139" customWidth="1"/>
    <col min="1822" max="1822" width="18.85546875" style="139" customWidth="1"/>
    <col min="1823" max="2048" width="9.140625" style="139"/>
    <col min="2049" max="2049" width="51.28515625" style="139" customWidth="1"/>
    <col min="2050" max="2050" width="18.5703125" style="139" customWidth="1"/>
    <col min="2051" max="2051" width="16.7109375" style="139" customWidth="1"/>
    <col min="2052" max="2052" width="15.85546875" style="139" customWidth="1"/>
    <col min="2053" max="2053" width="17.7109375" style="139" customWidth="1"/>
    <col min="2054" max="2054" width="20.28515625" style="139" customWidth="1"/>
    <col min="2055" max="2055" width="17.7109375" style="139" customWidth="1"/>
    <col min="2056" max="2056" width="18.85546875" style="139" customWidth="1"/>
    <col min="2057" max="2057" width="17" style="139" customWidth="1"/>
    <col min="2058" max="2058" width="16.7109375" style="139" customWidth="1"/>
    <col min="2059" max="2059" width="16" style="139" customWidth="1"/>
    <col min="2060" max="2060" width="15.85546875" style="139" customWidth="1"/>
    <col min="2061" max="2061" width="16.28515625" style="139" customWidth="1"/>
    <col min="2062" max="2062" width="15.85546875" style="139" customWidth="1"/>
    <col min="2063" max="2063" width="16.140625" style="139" customWidth="1"/>
    <col min="2064" max="2064" width="18.28515625" style="139" customWidth="1"/>
    <col min="2065" max="2065" width="15.42578125" style="139" customWidth="1"/>
    <col min="2066" max="2066" width="15" style="139" customWidth="1"/>
    <col min="2067" max="2068" width="15.85546875" style="139" customWidth="1"/>
    <col min="2069" max="2069" width="15.28515625" style="139" customWidth="1"/>
    <col min="2070" max="2070" width="16" style="139" customWidth="1"/>
    <col min="2071" max="2071" width="15.85546875" style="139" customWidth="1"/>
    <col min="2072" max="2072" width="16.140625" style="139" customWidth="1"/>
    <col min="2073" max="2073" width="15.7109375" style="139" customWidth="1"/>
    <col min="2074" max="2074" width="16.5703125" style="139" customWidth="1"/>
    <col min="2075" max="2075" width="15.5703125" style="139" customWidth="1"/>
    <col min="2076" max="2076" width="14.5703125" style="139" customWidth="1"/>
    <col min="2077" max="2077" width="17.28515625" style="139" customWidth="1"/>
    <col min="2078" max="2078" width="18.85546875" style="139" customWidth="1"/>
    <col min="2079" max="2304" width="9.140625" style="139"/>
    <col min="2305" max="2305" width="51.28515625" style="139" customWidth="1"/>
    <col min="2306" max="2306" width="18.5703125" style="139" customWidth="1"/>
    <col min="2307" max="2307" width="16.7109375" style="139" customWidth="1"/>
    <col min="2308" max="2308" width="15.85546875" style="139" customWidth="1"/>
    <col min="2309" max="2309" width="17.7109375" style="139" customWidth="1"/>
    <col min="2310" max="2310" width="20.28515625" style="139" customWidth="1"/>
    <col min="2311" max="2311" width="17.7109375" style="139" customWidth="1"/>
    <col min="2312" max="2312" width="18.85546875" style="139" customWidth="1"/>
    <col min="2313" max="2313" width="17" style="139" customWidth="1"/>
    <col min="2314" max="2314" width="16.7109375" style="139" customWidth="1"/>
    <col min="2315" max="2315" width="16" style="139" customWidth="1"/>
    <col min="2316" max="2316" width="15.85546875" style="139" customWidth="1"/>
    <col min="2317" max="2317" width="16.28515625" style="139" customWidth="1"/>
    <col min="2318" max="2318" width="15.85546875" style="139" customWidth="1"/>
    <col min="2319" max="2319" width="16.140625" style="139" customWidth="1"/>
    <col min="2320" max="2320" width="18.28515625" style="139" customWidth="1"/>
    <col min="2321" max="2321" width="15.42578125" style="139" customWidth="1"/>
    <col min="2322" max="2322" width="15" style="139" customWidth="1"/>
    <col min="2323" max="2324" width="15.85546875" style="139" customWidth="1"/>
    <col min="2325" max="2325" width="15.28515625" style="139" customWidth="1"/>
    <col min="2326" max="2326" width="16" style="139" customWidth="1"/>
    <col min="2327" max="2327" width="15.85546875" style="139" customWidth="1"/>
    <col min="2328" max="2328" width="16.140625" style="139" customWidth="1"/>
    <col min="2329" max="2329" width="15.7109375" style="139" customWidth="1"/>
    <col min="2330" max="2330" width="16.5703125" style="139" customWidth="1"/>
    <col min="2331" max="2331" width="15.5703125" style="139" customWidth="1"/>
    <col min="2332" max="2332" width="14.5703125" style="139" customWidth="1"/>
    <col min="2333" max="2333" width="17.28515625" style="139" customWidth="1"/>
    <col min="2334" max="2334" width="18.85546875" style="139" customWidth="1"/>
    <col min="2335" max="2560" width="9.140625" style="139"/>
    <col min="2561" max="2561" width="51.28515625" style="139" customWidth="1"/>
    <col min="2562" max="2562" width="18.5703125" style="139" customWidth="1"/>
    <col min="2563" max="2563" width="16.7109375" style="139" customWidth="1"/>
    <col min="2564" max="2564" width="15.85546875" style="139" customWidth="1"/>
    <col min="2565" max="2565" width="17.7109375" style="139" customWidth="1"/>
    <col min="2566" max="2566" width="20.28515625" style="139" customWidth="1"/>
    <col min="2567" max="2567" width="17.7109375" style="139" customWidth="1"/>
    <col min="2568" max="2568" width="18.85546875" style="139" customWidth="1"/>
    <col min="2569" max="2569" width="17" style="139" customWidth="1"/>
    <col min="2570" max="2570" width="16.7109375" style="139" customWidth="1"/>
    <col min="2571" max="2571" width="16" style="139" customWidth="1"/>
    <col min="2572" max="2572" width="15.85546875" style="139" customWidth="1"/>
    <col min="2573" max="2573" width="16.28515625" style="139" customWidth="1"/>
    <col min="2574" max="2574" width="15.85546875" style="139" customWidth="1"/>
    <col min="2575" max="2575" width="16.140625" style="139" customWidth="1"/>
    <col min="2576" max="2576" width="18.28515625" style="139" customWidth="1"/>
    <col min="2577" max="2577" width="15.42578125" style="139" customWidth="1"/>
    <col min="2578" max="2578" width="15" style="139" customWidth="1"/>
    <col min="2579" max="2580" width="15.85546875" style="139" customWidth="1"/>
    <col min="2581" max="2581" width="15.28515625" style="139" customWidth="1"/>
    <col min="2582" max="2582" width="16" style="139" customWidth="1"/>
    <col min="2583" max="2583" width="15.85546875" style="139" customWidth="1"/>
    <col min="2584" max="2584" width="16.140625" style="139" customWidth="1"/>
    <col min="2585" max="2585" width="15.7109375" style="139" customWidth="1"/>
    <col min="2586" max="2586" width="16.5703125" style="139" customWidth="1"/>
    <col min="2587" max="2587" width="15.5703125" style="139" customWidth="1"/>
    <col min="2588" max="2588" width="14.5703125" style="139" customWidth="1"/>
    <col min="2589" max="2589" width="17.28515625" style="139" customWidth="1"/>
    <col min="2590" max="2590" width="18.85546875" style="139" customWidth="1"/>
    <col min="2591" max="2816" width="9.140625" style="139"/>
    <col min="2817" max="2817" width="51.28515625" style="139" customWidth="1"/>
    <col min="2818" max="2818" width="18.5703125" style="139" customWidth="1"/>
    <col min="2819" max="2819" width="16.7109375" style="139" customWidth="1"/>
    <col min="2820" max="2820" width="15.85546875" style="139" customWidth="1"/>
    <col min="2821" max="2821" width="17.7109375" style="139" customWidth="1"/>
    <col min="2822" max="2822" width="20.28515625" style="139" customWidth="1"/>
    <col min="2823" max="2823" width="17.7109375" style="139" customWidth="1"/>
    <col min="2824" max="2824" width="18.85546875" style="139" customWidth="1"/>
    <col min="2825" max="2825" width="17" style="139" customWidth="1"/>
    <col min="2826" max="2826" width="16.7109375" style="139" customWidth="1"/>
    <col min="2827" max="2827" width="16" style="139" customWidth="1"/>
    <col min="2828" max="2828" width="15.85546875" style="139" customWidth="1"/>
    <col min="2829" max="2829" width="16.28515625" style="139" customWidth="1"/>
    <col min="2830" max="2830" width="15.85546875" style="139" customWidth="1"/>
    <col min="2831" max="2831" width="16.140625" style="139" customWidth="1"/>
    <col min="2832" max="2832" width="18.28515625" style="139" customWidth="1"/>
    <col min="2833" max="2833" width="15.42578125" style="139" customWidth="1"/>
    <col min="2834" max="2834" width="15" style="139" customWidth="1"/>
    <col min="2835" max="2836" width="15.85546875" style="139" customWidth="1"/>
    <col min="2837" max="2837" width="15.28515625" style="139" customWidth="1"/>
    <col min="2838" max="2838" width="16" style="139" customWidth="1"/>
    <col min="2839" max="2839" width="15.85546875" style="139" customWidth="1"/>
    <col min="2840" max="2840" width="16.140625" style="139" customWidth="1"/>
    <col min="2841" max="2841" width="15.7109375" style="139" customWidth="1"/>
    <col min="2842" max="2842" width="16.5703125" style="139" customWidth="1"/>
    <col min="2843" max="2843" width="15.5703125" style="139" customWidth="1"/>
    <col min="2844" max="2844" width="14.5703125" style="139" customWidth="1"/>
    <col min="2845" max="2845" width="17.28515625" style="139" customWidth="1"/>
    <col min="2846" max="2846" width="18.85546875" style="139" customWidth="1"/>
    <col min="2847" max="3072" width="9.140625" style="139"/>
    <col min="3073" max="3073" width="51.28515625" style="139" customWidth="1"/>
    <col min="3074" max="3074" width="18.5703125" style="139" customWidth="1"/>
    <col min="3075" max="3075" width="16.7109375" style="139" customWidth="1"/>
    <col min="3076" max="3076" width="15.85546875" style="139" customWidth="1"/>
    <col min="3077" max="3077" width="17.7109375" style="139" customWidth="1"/>
    <col min="3078" max="3078" width="20.28515625" style="139" customWidth="1"/>
    <col min="3079" max="3079" width="17.7109375" style="139" customWidth="1"/>
    <col min="3080" max="3080" width="18.85546875" style="139" customWidth="1"/>
    <col min="3081" max="3081" width="17" style="139" customWidth="1"/>
    <col min="3082" max="3082" width="16.7109375" style="139" customWidth="1"/>
    <col min="3083" max="3083" width="16" style="139" customWidth="1"/>
    <col min="3084" max="3084" width="15.85546875" style="139" customWidth="1"/>
    <col min="3085" max="3085" width="16.28515625" style="139" customWidth="1"/>
    <col min="3086" max="3086" width="15.85546875" style="139" customWidth="1"/>
    <col min="3087" max="3087" width="16.140625" style="139" customWidth="1"/>
    <col min="3088" max="3088" width="18.28515625" style="139" customWidth="1"/>
    <col min="3089" max="3089" width="15.42578125" style="139" customWidth="1"/>
    <col min="3090" max="3090" width="15" style="139" customWidth="1"/>
    <col min="3091" max="3092" width="15.85546875" style="139" customWidth="1"/>
    <col min="3093" max="3093" width="15.28515625" style="139" customWidth="1"/>
    <col min="3094" max="3094" width="16" style="139" customWidth="1"/>
    <col min="3095" max="3095" width="15.85546875" style="139" customWidth="1"/>
    <col min="3096" max="3096" width="16.140625" style="139" customWidth="1"/>
    <col min="3097" max="3097" width="15.7109375" style="139" customWidth="1"/>
    <col min="3098" max="3098" width="16.5703125" style="139" customWidth="1"/>
    <col min="3099" max="3099" width="15.5703125" style="139" customWidth="1"/>
    <col min="3100" max="3100" width="14.5703125" style="139" customWidth="1"/>
    <col min="3101" max="3101" width="17.28515625" style="139" customWidth="1"/>
    <col min="3102" max="3102" width="18.85546875" style="139" customWidth="1"/>
    <col min="3103" max="3328" width="9.140625" style="139"/>
    <col min="3329" max="3329" width="51.28515625" style="139" customWidth="1"/>
    <col min="3330" max="3330" width="18.5703125" style="139" customWidth="1"/>
    <col min="3331" max="3331" width="16.7109375" style="139" customWidth="1"/>
    <col min="3332" max="3332" width="15.85546875" style="139" customWidth="1"/>
    <col min="3333" max="3333" width="17.7109375" style="139" customWidth="1"/>
    <col min="3334" max="3334" width="20.28515625" style="139" customWidth="1"/>
    <col min="3335" max="3335" width="17.7109375" style="139" customWidth="1"/>
    <col min="3336" max="3336" width="18.85546875" style="139" customWidth="1"/>
    <col min="3337" max="3337" width="17" style="139" customWidth="1"/>
    <col min="3338" max="3338" width="16.7109375" style="139" customWidth="1"/>
    <col min="3339" max="3339" width="16" style="139" customWidth="1"/>
    <col min="3340" max="3340" width="15.85546875" style="139" customWidth="1"/>
    <col min="3341" max="3341" width="16.28515625" style="139" customWidth="1"/>
    <col min="3342" max="3342" width="15.85546875" style="139" customWidth="1"/>
    <col min="3343" max="3343" width="16.140625" style="139" customWidth="1"/>
    <col min="3344" max="3344" width="18.28515625" style="139" customWidth="1"/>
    <col min="3345" max="3345" width="15.42578125" style="139" customWidth="1"/>
    <col min="3346" max="3346" width="15" style="139" customWidth="1"/>
    <col min="3347" max="3348" width="15.85546875" style="139" customWidth="1"/>
    <col min="3349" max="3349" width="15.28515625" style="139" customWidth="1"/>
    <col min="3350" max="3350" width="16" style="139" customWidth="1"/>
    <col min="3351" max="3351" width="15.85546875" style="139" customWidth="1"/>
    <col min="3352" max="3352" width="16.140625" style="139" customWidth="1"/>
    <col min="3353" max="3353" width="15.7109375" style="139" customWidth="1"/>
    <col min="3354" max="3354" width="16.5703125" style="139" customWidth="1"/>
    <col min="3355" max="3355" width="15.5703125" style="139" customWidth="1"/>
    <col min="3356" max="3356" width="14.5703125" style="139" customWidth="1"/>
    <col min="3357" max="3357" width="17.28515625" style="139" customWidth="1"/>
    <col min="3358" max="3358" width="18.85546875" style="139" customWidth="1"/>
    <col min="3359" max="3584" width="9.140625" style="139"/>
    <col min="3585" max="3585" width="51.28515625" style="139" customWidth="1"/>
    <col min="3586" max="3586" width="18.5703125" style="139" customWidth="1"/>
    <col min="3587" max="3587" width="16.7109375" style="139" customWidth="1"/>
    <col min="3588" max="3588" width="15.85546875" style="139" customWidth="1"/>
    <col min="3589" max="3589" width="17.7109375" style="139" customWidth="1"/>
    <col min="3590" max="3590" width="20.28515625" style="139" customWidth="1"/>
    <col min="3591" max="3591" width="17.7109375" style="139" customWidth="1"/>
    <col min="3592" max="3592" width="18.85546875" style="139" customWidth="1"/>
    <col min="3593" max="3593" width="17" style="139" customWidth="1"/>
    <col min="3594" max="3594" width="16.7109375" style="139" customWidth="1"/>
    <col min="3595" max="3595" width="16" style="139" customWidth="1"/>
    <col min="3596" max="3596" width="15.85546875" style="139" customWidth="1"/>
    <col min="3597" max="3597" width="16.28515625" style="139" customWidth="1"/>
    <col min="3598" max="3598" width="15.85546875" style="139" customWidth="1"/>
    <col min="3599" max="3599" width="16.140625" style="139" customWidth="1"/>
    <col min="3600" max="3600" width="18.28515625" style="139" customWidth="1"/>
    <col min="3601" max="3601" width="15.42578125" style="139" customWidth="1"/>
    <col min="3602" max="3602" width="15" style="139" customWidth="1"/>
    <col min="3603" max="3604" width="15.85546875" style="139" customWidth="1"/>
    <col min="3605" max="3605" width="15.28515625" style="139" customWidth="1"/>
    <col min="3606" max="3606" width="16" style="139" customWidth="1"/>
    <col min="3607" max="3607" width="15.85546875" style="139" customWidth="1"/>
    <col min="3608" max="3608" width="16.140625" style="139" customWidth="1"/>
    <col min="3609" max="3609" width="15.7109375" style="139" customWidth="1"/>
    <col min="3610" max="3610" width="16.5703125" style="139" customWidth="1"/>
    <col min="3611" max="3611" width="15.5703125" style="139" customWidth="1"/>
    <col min="3612" max="3612" width="14.5703125" style="139" customWidth="1"/>
    <col min="3613" max="3613" width="17.28515625" style="139" customWidth="1"/>
    <col min="3614" max="3614" width="18.85546875" style="139" customWidth="1"/>
    <col min="3615" max="3840" width="9.140625" style="139"/>
    <col min="3841" max="3841" width="51.28515625" style="139" customWidth="1"/>
    <col min="3842" max="3842" width="18.5703125" style="139" customWidth="1"/>
    <col min="3843" max="3843" width="16.7109375" style="139" customWidth="1"/>
    <col min="3844" max="3844" width="15.85546875" style="139" customWidth="1"/>
    <col min="3845" max="3845" width="17.7109375" style="139" customWidth="1"/>
    <col min="3846" max="3846" width="20.28515625" style="139" customWidth="1"/>
    <col min="3847" max="3847" width="17.7109375" style="139" customWidth="1"/>
    <col min="3848" max="3848" width="18.85546875" style="139" customWidth="1"/>
    <col min="3849" max="3849" width="17" style="139" customWidth="1"/>
    <col min="3850" max="3850" width="16.7109375" style="139" customWidth="1"/>
    <col min="3851" max="3851" width="16" style="139" customWidth="1"/>
    <col min="3852" max="3852" width="15.85546875" style="139" customWidth="1"/>
    <col min="3853" max="3853" width="16.28515625" style="139" customWidth="1"/>
    <col min="3854" max="3854" width="15.85546875" style="139" customWidth="1"/>
    <col min="3855" max="3855" width="16.140625" style="139" customWidth="1"/>
    <col min="3856" max="3856" width="18.28515625" style="139" customWidth="1"/>
    <col min="3857" max="3857" width="15.42578125" style="139" customWidth="1"/>
    <col min="3858" max="3858" width="15" style="139" customWidth="1"/>
    <col min="3859" max="3860" width="15.85546875" style="139" customWidth="1"/>
    <col min="3861" max="3861" width="15.28515625" style="139" customWidth="1"/>
    <col min="3862" max="3862" width="16" style="139" customWidth="1"/>
    <col min="3863" max="3863" width="15.85546875" style="139" customWidth="1"/>
    <col min="3864" max="3864" width="16.140625" style="139" customWidth="1"/>
    <col min="3865" max="3865" width="15.7109375" style="139" customWidth="1"/>
    <col min="3866" max="3866" width="16.5703125" style="139" customWidth="1"/>
    <col min="3867" max="3867" width="15.5703125" style="139" customWidth="1"/>
    <col min="3868" max="3868" width="14.5703125" style="139" customWidth="1"/>
    <col min="3869" max="3869" width="17.28515625" style="139" customWidth="1"/>
    <col min="3870" max="3870" width="18.85546875" style="139" customWidth="1"/>
    <col min="3871" max="4096" width="9.140625" style="139"/>
    <col min="4097" max="4097" width="51.28515625" style="139" customWidth="1"/>
    <col min="4098" max="4098" width="18.5703125" style="139" customWidth="1"/>
    <col min="4099" max="4099" width="16.7109375" style="139" customWidth="1"/>
    <col min="4100" max="4100" width="15.85546875" style="139" customWidth="1"/>
    <col min="4101" max="4101" width="17.7109375" style="139" customWidth="1"/>
    <col min="4102" max="4102" width="20.28515625" style="139" customWidth="1"/>
    <col min="4103" max="4103" width="17.7109375" style="139" customWidth="1"/>
    <col min="4104" max="4104" width="18.85546875" style="139" customWidth="1"/>
    <col min="4105" max="4105" width="17" style="139" customWidth="1"/>
    <col min="4106" max="4106" width="16.7109375" style="139" customWidth="1"/>
    <col min="4107" max="4107" width="16" style="139" customWidth="1"/>
    <col min="4108" max="4108" width="15.85546875" style="139" customWidth="1"/>
    <col min="4109" max="4109" width="16.28515625" style="139" customWidth="1"/>
    <col min="4110" max="4110" width="15.85546875" style="139" customWidth="1"/>
    <col min="4111" max="4111" width="16.140625" style="139" customWidth="1"/>
    <col min="4112" max="4112" width="18.28515625" style="139" customWidth="1"/>
    <col min="4113" max="4113" width="15.42578125" style="139" customWidth="1"/>
    <col min="4114" max="4114" width="15" style="139" customWidth="1"/>
    <col min="4115" max="4116" width="15.85546875" style="139" customWidth="1"/>
    <col min="4117" max="4117" width="15.28515625" style="139" customWidth="1"/>
    <col min="4118" max="4118" width="16" style="139" customWidth="1"/>
    <col min="4119" max="4119" width="15.85546875" style="139" customWidth="1"/>
    <col min="4120" max="4120" width="16.140625" style="139" customWidth="1"/>
    <col min="4121" max="4121" width="15.7109375" style="139" customWidth="1"/>
    <col min="4122" max="4122" width="16.5703125" style="139" customWidth="1"/>
    <col min="4123" max="4123" width="15.5703125" style="139" customWidth="1"/>
    <col min="4124" max="4124" width="14.5703125" style="139" customWidth="1"/>
    <col min="4125" max="4125" width="17.28515625" style="139" customWidth="1"/>
    <col min="4126" max="4126" width="18.85546875" style="139" customWidth="1"/>
    <col min="4127" max="4352" width="9.140625" style="139"/>
    <col min="4353" max="4353" width="51.28515625" style="139" customWidth="1"/>
    <col min="4354" max="4354" width="18.5703125" style="139" customWidth="1"/>
    <col min="4355" max="4355" width="16.7109375" style="139" customWidth="1"/>
    <col min="4356" max="4356" width="15.85546875" style="139" customWidth="1"/>
    <col min="4357" max="4357" width="17.7109375" style="139" customWidth="1"/>
    <col min="4358" max="4358" width="20.28515625" style="139" customWidth="1"/>
    <col min="4359" max="4359" width="17.7109375" style="139" customWidth="1"/>
    <col min="4360" max="4360" width="18.85546875" style="139" customWidth="1"/>
    <col min="4361" max="4361" width="17" style="139" customWidth="1"/>
    <col min="4362" max="4362" width="16.7109375" style="139" customWidth="1"/>
    <col min="4363" max="4363" width="16" style="139" customWidth="1"/>
    <col min="4364" max="4364" width="15.85546875" style="139" customWidth="1"/>
    <col min="4365" max="4365" width="16.28515625" style="139" customWidth="1"/>
    <col min="4366" max="4366" width="15.85546875" style="139" customWidth="1"/>
    <col min="4367" max="4367" width="16.140625" style="139" customWidth="1"/>
    <col min="4368" max="4368" width="18.28515625" style="139" customWidth="1"/>
    <col min="4369" max="4369" width="15.42578125" style="139" customWidth="1"/>
    <col min="4370" max="4370" width="15" style="139" customWidth="1"/>
    <col min="4371" max="4372" width="15.85546875" style="139" customWidth="1"/>
    <col min="4373" max="4373" width="15.28515625" style="139" customWidth="1"/>
    <col min="4374" max="4374" width="16" style="139" customWidth="1"/>
    <col min="4375" max="4375" width="15.85546875" style="139" customWidth="1"/>
    <col min="4376" max="4376" width="16.140625" style="139" customWidth="1"/>
    <col min="4377" max="4377" width="15.7109375" style="139" customWidth="1"/>
    <col min="4378" max="4378" width="16.5703125" style="139" customWidth="1"/>
    <col min="4379" max="4379" width="15.5703125" style="139" customWidth="1"/>
    <col min="4380" max="4380" width="14.5703125" style="139" customWidth="1"/>
    <col min="4381" max="4381" width="17.28515625" style="139" customWidth="1"/>
    <col min="4382" max="4382" width="18.85546875" style="139" customWidth="1"/>
    <col min="4383" max="4608" width="9.140625" style="139"/>
    <col min="4609" max="4609" width="51.28515625" style="139" customWidth="1"/>
    <col min="4610" max="4610" width="18.5703125" style="139" customWidth="1"/>
    <col min="4611" max="4611" width="16.7109375" style="139" customWidth="1"/>
    <col min="4612" max="4612" width="15.85546875" style="139" customWidth="1"/>
    <col min="4613" max="4613" width="17.7109375" style="139" customWidth="1"/>
    <col min="4614" max="4614" width="20.28515625" style="139" customWidth="1"/>
    <col min="4615" max="4615" width="17.7109375" style="139" customWidth="1"/>
    <col min="4616" max="4616" width="18.85546875" style="139" customWidth="1"/>
    <col min="4617" max="4617" width="17" style="139" customWidth="1"/>
    <col min="4618" max="4618" width="16.7109375" style="139" customWidth="1"/>
    <col min="4619" max="4619" width="16" style="139" customWidth="1"/>
    <col min="4620" max="4620" width="15.85546875" style="139" customWidth="1"/>
    <col min="4621" max="4621" width="16.28515625" style="139" customWidth="1"/>
    <col min="4622" max="4622" width="15.85546875" style="139" customWidth="1"/>
    <col min="4623" max="4623" width="16.140625" style="139" customWidth="1"/>
    <col min="4624" max="4624" width="18.28515625" style="139" customWidth="1"/>
    <col min="4625" max="4625" width="15.42578125" style="139" customWidth="1"/>
    <col min="4626" max="4626" width="15" style="139" customWidth="1"/>
    <col min="4627" max="4628" width="15.85546875" style="139" customWidth="1"/>
    <col min="4629" max="4629" width="15.28515625" style="139" customWidth="1"/>
    <col min="4630" max="4630" width="16" style="139" customWidth="1"/>
    <col min="4631" max="4631" width="15.85546875" style="139" customWidth="1"/>
    <col min="4632" max="4632" width="16.140625" style="139" customWidth="1"/>
    <col min="4633" max="4633" width="15.7109375" style="139" customWidth="1"/>
    <col min="4634" max="4634" width="16.5703125" style="139" customWidth="1"/>
    <col min="4635" max="4635" width="15.5703125" style="139" customWidth="1"/>
    <col min="4636" max="4636" width="14.5703125" style="139" customWidth="1"/>
    <col min="4637" max="4637" width="17.28515625" style="139" customWidth="1"/>
    <col min="4638" max="4638" width="18.85546875" style="139" customWidth="1"/>
    <col min="4639" max="4864" width="9.140625" style="139"/>
    <col min="4865" max="4865" width="51.28515625" style="139" customWidth="1"/>
    <col min="4866" max="4866" width="18.5703125" style="139" customWidth="1"/>
    <col min="4867" max="4867" width="16.7109375" style="139" customWidth="1"/>
    <col min="4868" max="4868" width="15.85546875" style="139" customWidth="1"/>
    <col min="4869" max="4869" width="17.7109375" style="139" customWidth="1"/>
    <col min="4870" max="4870" width="20.28515625" style="139" customWidth="1"/>
    <col min="4871" max="4871" width="17.7109375" style="139" customWidth="1"/>
    <col min="4872" max="4872" width="18.85546875" style="139" customWidth="1"/>
    <col min="4873" max="4873" width="17" style="139" customWidth="1"/>
    <col min="4874" max="4874" width="16.7109375" style="139" customWidth="1"/>
    <col min="4875" max="4875" width="16" style="139" customWidth="1"/>
    <col min="4876" max="4876" width="15.85546875" style="139" customWidth="1"/>
    <col min="4877" max="4877" width="16.28515625" style="139" customWidth="1"/>
    <col min="4878" max="4878" width="15.85546875" style="139" customWidth="1"/>
    <col min="4879" max="4879" width="16.140625" style="139" customWidth="1"/>
    <col min="4880" max="4880" width="18.28515625" style="139" customWidth="1"/>
    <col min="4881" max="4881" width="15.42578125" style="139" customWidth="1"/>
    <col min="4882" max="4882" width="15" style="139" customWidth="1"/>
    <col min="4883" max="4884" width="15.85546875" style="139" customWidth="1"/>
    <col min="4885" max="4885" width="15.28515625" style="139" customWidth="1"/>
    <col min="4886" max="4886" width="16" style="139" customWidth="1"/>
    <col min="4887" max="4887" width="15.85546875" style="139" customWidth="1"/>
    <col min="4888" max="4888" width="16.140625" style="139" customWidth="1"/>
    <col min="4889" max="4889" width="15.7109375" style="139" customWidth="1"/>
    <col min="4890" max="4890" width="16.5703125" style="139" customWidth="1"/>
    <col min="4891" max="4891" width="15.5703125" style="139" customWidth="1"/>
    <col min="4892" max="4892" width="14.5703125" style="139" customWidth="1"/>
    <col min="4893" max="4893" width="17.28515625" style="139" customWidth="1"/>
    <col min="4894" max="4894" width="18.85546875" style="139" customWidth="1"/>
    <col min="4895" max="5120" width="9.140625" style="139"/>
    <col min="5121" max="5121" width="51.28515625" style="139" customWidth="1"/>
    <col min="5122" max="5122" width="18.5703125" style="139" customWidth="1"/>
    <col min="5123" max="5123" width="16.7109375" style="139" customWidth="1"/>
    <col min="5124" max="5124" width="15.85546875" style="139" customWidth="1"/>
    <col min="5125" max="5125" width="17.7109375" style="139" customWidth="1"/>
    <col min="5126" max="5126" width="20.28515625" style="139" customWidth="1"/>
    <col min="5127" max="5127" width="17.7109375" style="139" customWidth="1"/>
    <col min="5128" max="5128" width="18.85546875" style="139" customWidth="1"/>
    <col min="5129" max="5129" width="17" style="139" customWidth="1"/>
    <col min="5130" max="5130" width="16.7109375" style="139" customWidth="1"/>
    <col min="5131" max="5131" width="16" style="139" customWidth="1"/>
    <col min="5132" max="5132" width="15.85546875" style="139" customWidth="1"/>
    <col min="5133" max="5133" width="16.28515625" style="139" customWidth="1"/>
    <col min="5134" max="5134" width="15.85546875" style="139" customWidth="1"/>
    <col min="5135" max="5135" width="16.140625" style="139" customWidth="1"/>
    <col min="5136" max="5136" width="18.28515625" style="139" customWidth="1"/>
    <col min="5137" max="5137" width="15.42578125" style="139" customWidth="1"/>
    <col min="5138" max="5138" width="15" style="139" customWidth="1"/>
    <col min="5139" max="5140" width="15.85546875" style="139" customWidth="1"/>
    <col min="5141" max="5141" width="15.28515625" style="139" customWidth="1"/>
    <col min="5142" max="5142" width="16" style="139" customWidth="1"/>
    <col min="5143" max="5143" width="15.85546875" style="139" customWidth="1"/>
    <col min="5144" max="5144" width="16.140625" style="139" customWidth="1"/>
    <col min="5145" max="5145" width="15.7109375" style="139" customWidth="1"/>
    <col min="5146" max="5146" width="16.5703125" style="139" customWidth="1"/>
    <col min="5147" max="5147" width="15.5703125" style="139" customWidth="1"/>
    <col min="5148" max="5148" width="14.5703125" style="139" customWidth="1"/>
    <col min="5149" max="5149" width="17.28515625" style="139" customWidth="1"/>
    <col min="5150" max="5150" width="18.85546875" style="139" customWidth="1"/>
    <col min="5151" max="5376" width="9.140625" style="139"/>
    <col min="5377" max="5377" width="51.28515625" style="139" customWidth="1"/>
    <col min="5378" max="5378" width="18.5703125" style="139" customWidth="1"/>
    <col min="5379" max="5379" width="16.7109375" style="139" customWidth="1"/>
    <col min="5380" max="5380" width="15.85546875" style="139" customWidth="1"/>
    <col min="5381" max="5381" width="17.7109375" style="139" customWidth="1"/>
    <col min="5382" max="5382" width="20.28515625" style="139" customWidth="1"/>
    <col min="5383" max="5383" width="17.7109375" style="139" customWidth="1"/>
    <col min="5384" max="5384" width="18.85546875" style="139" customWidth="1"/>
    <col min="5385" max="5385" width="17" style="139" customWidth="1"/>
    <col min="5386" max="5386" width="16.7109375" style="139" customWidth="1"/>
    <col min="5387" max="5387" width="16" style="139" customWidth="1"/>
    <col min="5388" max="5388" width="15.85546875" style="139" customWidth="1"/>
    <col min="5389" max="5389" width="16.28515625" style="139" customWidth="1"/>
    <col min="5390" max="5390" width="15.85546875" style="139" customWidth="1"/>
    <col min="5391" max="5391" width="16.140625" style="139" customWidth="1"/>
    <col min="5392" max="5392" width="18.28515625" style="139" customWidth="1"/>
    <col min="5393" max="5393" width="15.42578125" style="139" customWidth="1"/>
    <col min="5394" max="5394" width="15" style="139" customWidth="1"/>
    <col min="5395" max="5396" width="15.85546875" style="139" customWidth="1"/>
    <col min="5397" max="5397" width="15.28515625" style="139" customWidth="1"/>
    <col min="5398" max="5398" width="16" style="139" customWidth="1"/>
    <col min="5399" max="5399" width="15.85546875" style="139" customWidth="1"/>
    <col min="5400" max="5400" width="16.140625" style="139" customWidth="1"/>
    <col min="5401" max="5401" width="15.7109375" style="139" customWidth="1"/>
    <col min="5402" max="5402" width="16.5703125" style="139" customWidth="1"/>
    <col min="5403" max="5403" width="15.5703125" style="139" customWidth="1"/>
    <col min="5404" max="5404" width="14.5703125" style="139" customWidth="1"/>
    <col min="5405" max="5405" width="17.28515625" style="139" customWidth="1"/>
    <col min="5406" max="5406" width="18.85546875" style="139" customWidth="1"/>
    <col min="5407" max="5632" width="9.140625" style="139"/>
    <col min="5633" max="5633" width="51.28515625" style="139" customWidth="1"/>
    <col min="5634" max="5634" width="18.5703125" style="139" customWidth="1"/>
    <col min="5635" max="5635" width="16.7109375" style="139" customWidth="1"/>
    <col min="5636" max="5636" width="15.85546875" style="139" customWidth="1"/>
    <col min="5637" max="5637" width="17.7109375" style="139" customWidth="1"/>
    <col min="5638" max="5638" width="20.28515625" style="139" customWidth="1"/>
    <col min="5639" max="5639" width="17.7109375" style="139" customWidth="1"/>
    <col min="5640" max="5640" width="18.85546875" style="139" customWidth="1"/>
    <col min="5641" max="5641" width="17" style="139" customWidth="1"/>
    <col min="5642" max="5642" width="16.7109375" style="139" customWidth="1"/>
    <col min="5643" max="5643" width="16" style="139" customWidth="1"/>
    <col min="5644" max="5644" width="15.85546875" style="139" customWidth="1"/>
    <col min="5645" max="5645" width="16.28515625" style="139" customWidth="1"/>
    <col min="5646" max="5646" width="15.85546875" style="139" customWidth="1"/>
    <col min="5647" max="5647" width="16.140625" style="139" customWidth="1"/>
    <col min="5648" max="5648" width="18.28515625" style="139" customWidth="1"/>
    <col min="5649" max="5649" width="15.42578125" style="139" customWidth="1"/>
    <col min="5650" max="5650" width="15" style="139" customWidth="1"/>
    <col min="5651" max="5652" width="15.85546875" style="139" customWidth="1"/>
    <col min="5653" max="5653" width="15.28515625" style="139" customWidth="1"/>
    <col min="5654" max="5654" width="16" style="139" customWidth="1"/>
    <col min="5655" max="5655" width="15.85546875" style="139" customWidth="1"/>
    <col min="5656" max="5656" width="16.140625" style="139" customWidth="1"/>
    <col min="5657" max="5657" width="15.7109375" style="139" customWidth="1"/>
    <col min="5658" max="5658" width="16.5703125" style="139" customWidth="1"/>
    <col min="5659" max="5659" width="15.5703125" style="139" customWidth="1"/>
    <col min="5660" max="5660" width="14.5703125" style="139" customWidth="1"/>
    <col min="5661" max="5661" width="17.28515625" style="139" customWidth="1"/>
    <col min="5662" max="5662" width="18.85546875" style="139" customWidth="1"/>
    <col min="5663" max="5888" width="9.140625" style="139"/>
    <col min="5889" max="5889" width="51.28515625" style="139" customWidth="1"/>
    <col min="5890" max="5890" width="18.5703125" style="139" customWidth="1"/>
    <col min="5891" max="5891" width="16.7109375" style="139" customWidth="1"/>
    <col min="5892" max="5892" width="15.85546875" style="139" customWidth="1"/>
    <col min="5893" max="5893" width="17.7109375" style="139" customWidth="1"/>
    <col min="5894" max="5894" width="20.28515625" style="139" customWidth="1"/>
    <col min="5895" max="5895" width="17.7109375" style="139" customWidth="1"/>
    <col min="5896" max="5896" width="18.85546875" style="139" customWidth="1"/>
    <col min="5897" max="5897" width="17" style="139" customWidth="1"/>
    <col min="5898" max="5898" width="16.7109375" style="139" customWidth="1"/>
    <col min="5899" max="5899" width="16" style="139" customWidth="1"/>
    <col min="5900" max="5900" width="15.85546875" style="139" customWidth="1"/>
    <col min="5901" max="5901" width="16.28515625" style="139" customWidth="1"/>
    <col min="5902" max="5902" width="15.85546875" style="139" customWidth="1"/>
    <col min="5903" max="5903" width="16.140625" style="139" customWidth="1"/>
    <col min="5904" max="5904" width="18.28515625" style="139" customWidth="1"/>
    <col min="5905" max="5905" width="15.42578125" style="139" customWidth="1"/>
    <col min="5906" max="5906" width="15" style="139" customWidth="1"/>
    <col min="5907" max="5908" width="15.85546875" style="139" customWidth="1"/>
    <col min="5909" max="5909" width="15.28515625" style="139" customWidth="1"/>
    <col min="5910" max="5910" width="16" style="139" customWidth="1"/>
    <col min="5911" max="5911" width="15.85546875" style="139" customWidth="1"/>
    <col min="5912" max="5912" width="16.140625" style="139" customWidth="1"/>
    <col min="5913" max="5913" width="15.7109375" style="139" customWidth="1"/>
    <col min="5914" max="5914" width="16.5703125" style="139" customWidth="1"/>
    <col min="5915" max="5915" width="15.5703125" style="139" customWidth="1"/>
    <col min="5916" max="5916" width="14.5703125" style="139" customWidth="1"/>
    <col min="5917" max="5917" width="17.28515625" style="139" customWidth="1"/>
    <col min="5918" max="5918" width="18.85546875" style="139" customWidth="1"/>
    <col min="5919" max="6144" width="9.140625" style="139"/>
    <col min="6145" max="6145" width="51.28515625" style="139" customWidth="1"/>
    <col min="6146" max="6146" width="18.5703125" style="139" customWidth="1"/>
    <col min="6147" max="6147" width="16.7109375" style="139" customWidth="1"/>
    <col min="6148" max="6148" width="15.85546875" style="139" customWidth="1"/>
    <col min="6149" max="6149" width="17.7109375" style="139" customWidth="1"/>
    <col min="6150" max="6150" width="20.28515625" style="139" customWidth="1"/>
    <col min="6151" max="6151" width="17.7109375" style="139" customWidth="1"/>
    <col min="6152" max="6152" width="18.85546875" style="139" customWidth="1"/>
    <col min="6153" max="6153" width="17" style="139" customWidth="1"/>
    <col min="6154" max="6154" width="16.7109375" style="139" customWidth="1"/>
    <col min="6155" max="6155" width="16" style="139" customWidth="1"/>
    <col min="6156" max="6156" width="15.85546875" style="139" customWidth="1"/>
    <col min="6157" max="6157" width="16.28515625" style="139" customWidth="1"/>
    <col min="6158" max="6158" width="15.85546875" style="139" customWidth="1"/>
    <col min="6159" max="6159" width="16.140625" style="139" customWidth="1"/>
    <col min="6160" max="6160" width="18.28515625" style="139" customWidth="1"/>
    <col min="6161" max="6161" width="15.42578125" style="139" customWidth="1"/>
    <col min="6162" max="6162" width="15" style="139" customWidth="1"/>
    <col min="6163" max="6164" width="15.85546875" style="139" customWidth="1"/>
    <col min="6165" max="6165" width="15.28515625" style="139" customWidth="1"/>
    <col min="6166" max="6166" width="16" style="139" customWidth="1"/>
    <col min="6167" max="6167" width="15.85546875" style="139" customWidth="1"/>
    <col min="6168" max="6168" width="16.140625" style="139" customWidth="1"/>
    <col min="6169" max="6169" width="15.7109375" style="139" customWidth="1"/>
    <col min="6170" max="6170" width="16.5703125" style="139" customWidth="1"/>
    <col min="6171" max="6171" width="15.5703125" style="139" customWidth="1"/>
    <col min="6172" max="6172" width="14.5703125" style="139" customWidth="1"/>
    <col min="6173" max="6173" width="17.28515625" style="139" customWidth="1"/>
    <col min="6174" max="6174" width="18.85546875" style="139" customWidth="1"/>
    <col min="6175" max="6400" width="9.140625" style="139"/>
    <col min="6401" max="6401" width="51.28515625" style="139" customWidth="1"/>
    <col min="6402" max="6402" width="18.5703125" style="139" customWidth="1"/>
    <col min="6403" max="6403" width="16.7109375" style="139" customWidth="1"/>
    <col min="6404" max="6404" width="15.85546875" style="139" customWidth="1"/>
    <col min="6405" max="6405" width="17.7109375" style="139" customWidth="1"/>
    <col min="6406" max="6406" width="20.28515625" style="139" customWidth="1"/>
    <col min="6407" max="6407" width="17.7109375" style="139" customWidth="1"/>
    <col min="6408" max="6408" width="18.85546875" style="139" customWidth="1"/>
    <col min="6409" max="6409" width="17" style="139" customWidth="1"/>
    <col min="6410" max="6410" width="16.7109375" style="139" customWidth="1"/>
    <col min="6411" max="6411" width="16" style="139" customWidth="1"/>
    <col min="6412" max="6412" width="15.85546875" style="139" customWidth="1"/>
    <col min="6413" max="6413" width="16.28515625" style="139" customWidth="1"/>
    <col min="6414" max="6414" width="15.85546875" style="139" customWidth="1"/>
    <col min="6415" max="6415" width="16.140625" style="139" customWidth="1"/>
    <col min="6416" max="6416" width="18.28515625" style="139" customWidth="1"/>
    <col min="6417" max="6417" width="15.42578125" style="139" customWidth="1"/>
    <col min="6418" max="6418" width="15" style="139" customWidth="1"/>
    <col min="6419" max="6420" width="15.85546875" style="139" customWidth="1"/>
    <col min="6421" max="6421" width="15.28515625" style="139" customWidth="1"/>
    <col min="6422" max="6422" width="16" style="139" customWidth="1"/>
    <col min="6423" max="6423" width="15.85546875" style="139" customWidth="1"/>
    <col min="6424" max="6424" width="16.140625" style="139" customWidth="1"/>
    <col min="6425" max="6425" width="15.7109375" style="139" customWidth="1"/>
    <col min="6426" max="6426" width="16.5703125" style="139" customWidth="1"/>
    <col min="6427" max="6427" width="15.5703125" style="139" customWidth="1"/>
    <col min="6428" max="6428" width="14.5703125" style="139" customWidth="1"/>
    <col min="6429" max="6429" width="17.28515625" style="139" customWidth="1"/>
    <col min="6430" max="6430" width="18.85546875" style="139" customWidth="1"/>
    <col min="6431" max="6656" width="9.140625" style="139"/>
    <col min="6657" max="6657" width="51.28515625" style="139" customWidth="1"/>
    <col min="6658" max="6658" width="18.5703125" style="139" customWidth="1"/>
    <col min="6659" max="6659" width="16.7109375" style="139" customWidth="1"/>
    <col min="6660" max="6660" width="15.85546875" style="139" customWidth="1"/>
    <col min="6661" max="6661" width="17.7109375" style="139" customWidth="1"/>
    <col min="6662" max="6662" width="20.28515625" style="139" customWidth="1"/>
    <col min="6663" max="6663" width="17.7109375" style="139" customWidth="1"/>
    <col min="6664" max="6664" width="18.85546875" style="139" customWidth="1"/>
    <col min="6665" max="6665" width="17" style="139" customWidth="1"/>
    <col min="6666" max="6666" width="16.7109375" style="139" customWidth="1"/>
    <col min="6667" max="6667" width="16" style="139" customWidth="1"/>
    <col min="6668" max="6668" width="15.85546875" style="139" customWidth="1"/>
    <col min="6669" max="6669" width="16.28515625" style="139" customWidth="1"/>
    <col min="6670" max="6670" width="15.85546875" style="139" customWidth="1"/>
    <col min="6671" max="6671" width="16.140625" style="139" customWidth="1"/>
    <col min="6672" max="6672" width="18.28515625" style="139" customWidth="1"/>
    <col min="6673" max="6673" width="15.42578125" style="139" customWidth="1"/>
    <col min="6674" max="6674" width="15" style="139" customWidth="1"/>
    <col min="6675" max="6676" width="15.85546875" style="139" customWidth="1"/>
    <col min="6677" max="6677" width="15.28515625" style="139" customWidth="1"/>
    <col min="6678" max="6678" width="16" style="139" customWidth="1"/>
    <col min="6679" max="6679" width="15.85546875" style="139" customWidth="1"/>
    <col min="6680" max="6680" width="16.140625" style="139" customWidth="1"/>
    <col min="6681" max="6681" width="15.7109375" style="139" customWidth="1"/>
    <col min="6682" max="6682" width="16.5703125" style="139" customWidth="1"/>
    <col min="6683" max="6683" width="15.5703125" style="139" customWidth="1"/>
    <col min="6684" max="6684" width="14.5703125" style="139" customWidth="1"/>
    <col min="6685" max="6685" width="17.28515625" style="139" customWidth="1"/>
    <col min="6686" max="6686" width="18.85546875" style="139" customWidth="1"/>
    <col min="6687" max="6912" width="9.140625" style="139"/>
    <col min="6913" max="6913" width="51.28515625" style="139" customWidth="1"/>
    <col min="6914" max="6914" width="18.5703125" style="139" customWidth="1"/>
    <col min="6915" max="6915" width="16.7109375" style="139" customWidth="1"/>
    <col min="6916" max="6916" width="15.85546875" style="139" customWidth="1"/>
    <col min="6917" max="6917" width="17.7109375" style="139" customWidth="1"/>
    <col min="6918" max="6918" width="20.28515625" style="139" customWidth="1"/>
    <col min="6919" max="6919" width="17.7109375" style="139" customWidth="1"/>
    <col min="6920" max="6920" width="18.85546875" style="139" customWidth="1"/>
    <col min="6921" max="6921" width="17" style="139" customWidth="1"/>
    <col min="6922" max="6922" width="16.7109375" style="139" customWidth="1"/>
    <col min="6923" max="6923" width="16" style="139" customWidth="1"/>
    <col min="6924" max="6924" width="15.85546875" style="139" customWidth="1"/>
    <col min="6925" max="6925" width="16.28515625" style="139" customWidth="1"/>
    <col min="6926" max="6926" width="15.85546875" style="139" customWidth="1"/>
    <col min="6927" max="6927" width="16.140625" style="139" customWidth="1"/>
    <col min="6928" max="6928" width="18.28515625" style="139" customWidth="1"/>
    <col min="6929" max="6929" width="15.42578125" style="139" customWidth="1"/>
    <col min="6930" max="6930" width="15" style="139" customWidth="1"/>
    <col min="6931" max="6932" width="15.85546875" style="139" customWidth="1"/>
    <col min="6933" max="6933" width="15.28515625" style="139" customWidth="1"/>
    <col min="6934" max="6934" width="16" style="139" customWidth="1"/>
    <col min="6935" max="6935" width="15.85546875" style="139" customWidth="1"/>
    <col min="6936" max="6936" width="16.140625" style="139" customWidth="1"/>
    <col min="6937" max="6937" width="15.7109375" style="139" customWidth="1"/>
    <col min="6938" max="6938" width="16.5703125" style="139" customWidth="1"/>
    <col min="6939" max="6939" width="15.5703125" style="139" customWidth="1"/>
    <col min="6940" max="6940" width="14.5703125" style="139" customWidth="1"/>
    <col min="6941" max="6941" width="17.28515625" style="139" customWidth="1"/>
    <col min="6942" max="6942" width="18.85546875" style="139" customWidth="1"/>
    <col min="6943" max="7168" width="9.140625" style="139"/>
    <col min="7169" max="7169" width="51.28515625" style="139" customWidth="1"/>
    <col min="7170" max="7170" width="18.5703125" style="139" customWidth="1"/>
    <col min="7171" max="7171" width="16.7109375" style="139" customWidth="1"/>
    <col min="7172" max="7172" width="15.85546875" style="139" customWidth="1"/>
    <col min="7173" max="7173" width="17.7109375" style="139" customWidth="1"/>
    <col min="7174" max="7174" width="20.28515625" style="139" customWidth="1"/>
    <col min="7175" max="7175" width="17.7109375" style="139" customWidth="1"/>
    <col min="7176" max="7176" width="18.85546875" style="139" customWidth="1"/>
    <col min="7177" max="7177" width="17" style="139" customWidth="1"/>
    <col min="7178" max="7178" width="16.7109375" style="139" customWidth="1"/>
    <col min="7179" max="7179" width="16" style="139" customWidth="1"/>
    <col min="7180" max="7180" width="15.85546875" style="139" customWidth="1"/>
    <col min="7181" max="7181" width="16.28515625" style="139" customWidth="1"/>
    <col min="7182" max="7182" width="15.85546875" style="139" customWidth="1"/>
    <col min="7183" max="7183" width="16.140625" style="139" customWidth="1"/>
    <col min="7184" max="7184" width="18.28515625" style="139" customWidth="1"/>
    <col min="7185" max="7185" width="15.42578125" style="139" customWidth="1"/>
    <col min="7186" max="7186" width="15" style="139" customWidth="1"/>
    <col min="7187" max="7188" width="15.85546875" style="139" customWidth="1"/>
    <col min="7189" max="7189" width="15.28515625" style="139" customWidth="1"/>
    <col min="7190" max="7190" width="16" style="139" customWidth="1"/>
    <col min="7191" max="7191" width="15.85546875" style="139" customWidth="1"/>
    <col min="7192" max="7192" width="16.140625" style="139" customWidth="1"/>
    <col min="7193" max="7193" width="15.7109375" style="139" customWidth="1"/>
    <col min="7194" max="7194" width="16.5703125" style="139" customWidth="1"/>
    <col min="7195" max="7195" width="15.5703125" style="139" customWidth="1"/>
    <col min="7196" max="7196" width="14.5703125" style="139" customWidth="1"/>
    <col min="7197" max="7197" width="17.28515625" style="139" customWidth="1"/>
    <col min="7198" max="7198" width="18.85546875" style="139" customWidth="1"/>
    <col min="7199" max="7424" width="9.140625" style="139"/>
    <col min="7425" max="7425" width="51.28515625" style="139" customWidth="1"/>
    <col min="7426" max="7426" width="18.5703125" style="139" customWidth="1"/>
    <col min="7427" max="7427" width="16.7109375" style="139" customWidth="1"/>
    <col min="7428" max="7428" width="15.85546875" style="139" customWidth="1"/>
    <col min="7429" max="7429" width="17.7109375" style="139" customWidth="1"/>
    <col min="7430" max="7430" width="20.28515625" style="139" customWidth="1"/>
    <col min="7431" max="7431" width="17.7109375" style="139" customWidth="1"/>
    <col min="7432" max="7432" width="18.85546875" style="139" customWidth="1"/>
    <col min="7433" max="7433" width="17" style="139" customWidth="1"/>
    <col min="7434" max="7434" width="16.7109375" style="139" customWidth="1"/>
    <col min="7435" max="7435" width="16" style="139" customWidth="1"/>
    <col min="7436" max="7436" width="15.85546875" style="139" customWidth="1"/>
    <col min="7437" max="7437" width="16.28515625" style="139" customWidth="1"/>
    <col min="7438" max="7438" width="15.85546875" style="139" customWidth="1"/>
    <col min="7439" max="7439" width="16.140625" style="139" customWidth="1"/>
    <col min="7440" max="7440" width="18.28515625" style="139" customWidth="1"/>
    <col min="7441" max="7441" width="15.42578125" style="139" customWidth="1"/>
    <col min="7442" max="7442" width="15" style="139" customWidth="1"/>
    <col min="7443" max="7444" width="15.85546875" style="139" customWidth="1"/>
    <col min="7445" max="7445" width="15.28515625" style="139" customWidth="1"/>
    <col min="7446" max="7446" width="16" style="139" customWidth="1"/>
    <col min="7447" max="7447" width="15.85546875" style="139" customWidth="1"/>
    <col min="7448" max="7448" width="16.140625" style="139" customWidth="1"/>
    <col min="7449" max="7449" width="15.7109375" style="139" customWidth="1"/>
    <col min="7450" max="7450" width="16.5703125" style="139" customWidth="1"/>
    <col min="7451" max="7451" width="15.5703125" style="139" customWidth="1"/>
    <col min="7452" max="7452" width="14.5703125" style="139" customWidth="1"/>
    <col min="7453" max="7453" width="17.28515625" style="139" customWidth="1"/>
    <col min="7454" max="7454" width="18.85546875" style="139" customWidth="1"/>
    <col min="7455" max="7680" width="9.140625" style="139"/>
    <col min="7681" max="7681" width="51.28515625" style="139" customWidth="1"/>
    <col min="7682" max="7682" width="18.5703125" style="139" customWidth="1"/>
    <col min="7683" max="7683" width="16.7109375" style="139" customWidth="1"/>
    <col min="7684" max="7684" width="15.85546875" style="139" customWidth="1"/>
    <col min="7685" max="7685" width="17.7109375" style="139" customWidth="1"/>
    <col min="7686" max="7686" width="20.28515625" style="139" customWidth="1"/>
    <col min="7687" max="7687" width="17.7109375" style="139" customWidth="1"/>
    <col min="7688" max="7688" width="18.85546875" style="139" customWidth="1"/>
    <col min="7689" max="7689" width="17" style="139" customWidth="1"/>
    <col min="7690" max="7690" width="16.7109375" style="139" customWidth="1"/>
    <col min="7691" max="7691" width="16" style="139" customWidth="1"/>
    <col min="7692" max="7692" width="15.85546875" style="139" customWidth="1"/>
    <col min="7693" max="7693" width="16.28515625" style="139" customWidth="1"/>
    <col min="7694" max="7694" width="15.85546875" style="139" customWidth="1"/>
    <col min="7695" max="7695" width="16.140625" style="139" customWidth="1"/>
    <col min="7696" max="7696" width="18.28515625" style="139" customWidth="1"/>
    <col min="7697" max="7697" width="15.42578125" style="139" customWidth="1"/>
    <col min="7698" max="7698" width="15" style="139" customWidth="1"/>
    <col min="7699" max="7700" width="15.85546875" style="139" customWidth="1"/>
    <col min="7701" max="7701" width="15.28515625" style="139" customWidth="1"/>
    <col min="7702" max="7702" width="16" style="139" customWidth="1"/>
    <col min="7703" max="7703" width="15.85546875" style="139" customWidth="1"/>
    <col min="7704" max="7704" width="16.140625" style="139" customWidth="1"/>
    <col min="7705" max="7705" width="15.7109375" style="139" customWidth="1"/>
    <col min="7706" max="7706" width="16.5703125" style="139" customWidth="1"/>
    <col min="7707" max="7707" width="15.5703125" style="139" customWidth="1"/>
    <col min="7708" max="7708" width="14.5703125" style="139" customWidth="1"/>
    <col min="7709" max="7709" width="17.28515625" style="139" customWidth="1"/>
    <col min="7710" max="7710" width="18.85546875" style="139" customWidth="1"/>
    <col min="7711" max="7936" width="9.140625" style="139"/>
    <col min="7937" max="7937" width="51.28515625" style="139" customWidth="1"/>
    <col min="7938" max="7938" width="18.5703125" style="139" customWidth="1"/>
    <col min="7939" max="7939" width="16.7109375" style="139" customWidth="1"/>
    <col min="7940" max="7940" width="15.85546875" style="139" customWidth="1"/>
    <col min="7941" max="7941" width="17.7109375" style="139" customWidth="1"/>
    <col min="7942" max="7942" width="20.28515625" style="139" customWidth="1"/>
    <col min="7943" max="7943" width="17.7109375" style="139" customWidth="1"/>
    <col min="7944" max="7944" width="18.85546875" style="139" customWidth="1"/>
    <col min="7945" max="7945" width="17" style="139" customWidth="1"/>
    <col min="7946" max="7946" width="16.7109375" style="139" customWidth="1"/>
    <col min="7947" max="7947" width="16" style="139" customWidth="1"/>
    <col min="7948" max="7948" width="15.85546875" style="139" customWidth="1"/>
    <col min="7949" max="7949" width="16.28515625" style="139" customWidth="1"/>
    <col min="7950" max="7950" width="15.85546875" style="139" customWidth="1"/>
    <col min="7951" max="7951" width="16.140625" style="139" customWidth="1"/>
    <col min="7952" max="7952" width="18.28515625" style="139" customWidth="1"/>
    <col min="7953" max="7953" width="15.42578125" style="139" customWidth="1"/>
    <col min="7954" max="7954" width="15" style="139" customWidth="1"/>
    <col min="7955" max="7956" width="15.85546875" style="139" customWidth="1"/>
    <col min="7957" max="7957" width="15.28515625" style="139" customWidth="1"/>
    <col min="7958" max="7958" width="16" style="139" customWidth="1"/>
    <col min="7959" max="7959" width="15.85546875" style="139" customWidth="1"/>
    <col min="7960" max="7960" width="16.140625" style="139" customWidth="1"/>
    <col min="7961" max="7961" width="15.7109375" style="139" customWidth="1"/>
    <col min="7962" max="7962" width="16.5703125" style="139" customWidth="1"/>
    <col min="7963" max="7963" width="15.5703125" style="139" customWidth="1"/>
    <col min="7964" max="7964" width="14.5703125" style="139" customWidth="1"/>
    <col min="7965" max="7965" width="17.28515625" style="139" customWidth="1"/>
    <col min="7966" max="7966" width="18.85546875" style="139" customWidth="1"/>
    <col min="7967" max="8192" width="9.140625" style="139"/>
    <col min="8193" max="8193" width="51.28515625" style="139" customWidth="1"/>
    <col min="8194" max="8194" width="18.5703125" style="139" customWidth="1"/>
    <col min="8195" max="8195" width="16.7109375" style="139" customWidth="1"/>
    <col min="8196" max="8196" width="15.85546875" style="139" customWidth="1"/>
    <col min="8197" max="8197" width="17.7109375" style="139" customWidth="1"/>
    <col min="8198" max="8198" width="20.28515625" style="139" customWidth="1"/>
    <col min="8199" max="8199" width="17.7109375" style="139" customWidth="1"/>
    <col min="8200" max="8200" width="18.85546875" style="139" customWidth="1"/>
    <col min="8201" max="8201" width="17" style="139" customWidth="1"/>
    <col min="8202" max="8202" width="16.7109375" style="139" customWidth="1"/>
    <col min="8203" max="8203" width="16" style="139" customWidth="1"/>
    <col min="8204" max="8204" width="15.85546875" style="139" customWidth="1"/>
    <col min="8205" max="8205" width="16.28515625" style="139" customWidth="1"/>
    <col min="8206" max="8206" width="15.85546875" style="139" customWidth="1"/>
    <col min="8207" max="8207" width="16.140625" style="139" customWidth="1"/>
    <col min="8208" max="8208" width="18.28515625" style="139" customWidth="1"/>
    <col min="8209" max="8209" width="15.42578125" style="139" customWidth="1"/>
    <col min="8210" max="8210" width="15" style="139" customWidth="1"/>
    <col min="8211" max="8212" width="15.85546875" style="139" customWidth="1"/>
    <col min="8213" max="8213" width="15.28515625" style="139" customWidth="1"/>
    <col min="8214" max="8214" width="16" style="139" customWidth="1"/>
    <col min="8215" max="8215" width="15.85546875" style="139" customWidth="1"/>
    <col min="8216" max="8216" width="16.140625" style="139" customWidth="1"/>
    <col min="8217" max="8217" width="15.7109375" style="139" customWidth="1"/>
    <col min="8218" max="8218" width="16.5703125" style="139" customWidth="1"/>
    <col min="8219" max="8219" width="15.5703125" style="139" customWidth="1"/>
    <col min="8220" max="8220" width="14.5703125" style="139" customWidth="1"/>
    <col min="8221" max="8221" width="17.28515625" style="139" customWidth="1"/>
    <col min="8222" max="8222" width="18.85546875" style="139" customWidth="1"/>
    <col min="8223" max="8448" width="9.140625" style="139"/>
    <col min="8449" max="8449" width="51.28515625" style="139" customWidth="1"/>
    <col min="8450" max="8450" width="18.5703125" style="139" customWidth="1"/>
    <col min="8451" max="8451" width="16.7109375" style="139" customWidth="1"/>
    <col min="8452" max="8452" width="15.85546875" style="139" customWidth="1"/>
    <col min="8453" max="8453" width="17.7109375" style="139" customWidth="1"/>
    <col min="8454" max="8454" width="20.28515625" style="139" customWidth="1"/>
    <col min="8455" max="8455" width="17.7109375" style="139" customWidth="1"/>
    <col min="8456" max="8456" width="18.85546875" style="139" customWidth="1"/>
    <col min="8457" max="8457" width="17" style="139" customWidth="1"/>
    <col min="8458" max="8458" width="16.7109375" style="139" customWidth="1"/>
    <col min="8459" max="8459" width="16" style="139" customWidth="1"/>
    <col min="8460" max="8460" width="15.85546875" style="139" customWidth="1"/>
    <col min="8461" max="8461" width="16.28515625" style="139" customWidth="1"/>
    <col min="8462" max="8462" width="15.85546875" style="139" customWidth="1"/>
    <col min="8463" max="8463" width="16.140625" style="139" customWidth="1"/>
    <col min="8464" max="8464" width="18.28515625" style="139" customWidth="1"/>
    <col min="8465" max="8465" width="15.42578125" style="139" customWidth="1"/>
    <col min="8466" max="8466" width="15" style="139" customWidth="1"/>
    <col min="8467" max="8468" width="15.85546875" style="139" customWidth="1"/>
    <col min="8469" max="8469" width="15.28515625" style="139" customWidth="1"/>
    <col min="8470" max="8470" width="16" style="139" customWidth="1"/>
    <col min="8471" max="8471" width="15.85546875" style="139" customWidth="1"/>
    <col min="8472" max="8472" width="16.140625" style="139" customWidth="1"/>
    <col min="8473" max="8473" width="15.7109375" style="139" customWidth="1"/>
    <col min="8474" max="8474" width="16.5703125" style="139" customWidth="1"/>
    <col min="8475" max="8475" width="15.5703125" style="139" customWidth="1"/>
    <col min="8476" max="8476" width="14.5703125" style="139" customWidth="1"/>
    <col min="8477" max="8477" width="17.28515625" style="139" customWidth="1"/>
    <col min="8478" max="8478" width="18.85546875" style="139" customWidth="1"/>
    <col min="8479" max="8704" width="9.140625" style="139"/>
    <col min="8705" max="8705" width="51.28515625" style="139" customWidth="1"/>
    <col min="8706" max="8706" width="18.5703125" style="139" customWidth="1"/>
    <col min="8707" max="8707" width="16.7109375" style="139" customWidth="1"/>
    <col min="8708" max="8708" width="15.85546875" style="139" customWidth="1"/>
    <col min="8709" max="8709" width="17.7109375" style="139" customWidth="1"/>
    <col min="8710" max="8710" width="20.28515625" style="139" customWidth="1"/>
    <col min="8711" max="8711" width="17.7109375" style="139" customWidth="1"/>
    <col min="8712" max="8712" width="18.85546875" style="139" customWidth="1"/>
    <col min="8713" max="8713" width="17" style="139" customWidth="1"/>
    <col min="8714" max="8714" width="16.7109375" style="139" customWidth="1"/>
    <col min="8715" max="8715" width="16" style="139" customWidth="1"/>
    <col min="8716" max="8716" width="15.85546875" style="139" customWidth="1"/>
    <col min="8717" max="8717" width="16.28515625" style="139" customWidth="1"/>
    <col min="8718" max="8718" width="15.85546875" style="139" customWidth="1"/>
    <col min="8719" max="8719" width="16.140625" style="139" customWidth="1"/>
    <col min="8720" max="8720" width="18.28515625" style="139" customWidth="1"/>
    <col min="8721" max="8721" width="15.42578125" style="139" customWidth="1"/>
    <col min="8722" max="8722" width="15" style="139" customWidth="1"/>
    <col min="8723" max="8724" width="15.85546875" style="139" customWidth="1"/>
    <col min="8725" max="8725" width="15.28515625" style="139" customWidth="1"/>
    <col min="8726" max="8726" width="16" style="139" customWidth="1"/>
    <col min="8727" max="8727" width="15.85546875" style="139" customWidth="1"/>
    <col min="8728" max="8728" width="16.140625" style="139" customWidth="1"/>
    <col min="8729" max="8729" width="15.7109375" style="139" customWidth="1"/>
    <col min="8730" max="8730" width="16.5703125" style="139" customWidth="1"/>
    <col min="8731" max="8731" width="15.5703125" style="139" customWidth="1"/>
    <col min="8732" max="8732" width="14.5703125" style="139" customWidth="1"/>
    <col min="8733" max="8733" width="17.28515625" style="139" customWidth="1"/>
    <col min="8734" max="8734" width="18.85546875" style="139" customWidth="1"/>
    <col min="8735" max="8960" width="9.140625" style="139"/>
    <col min="8961" max="8961" width="51.28515625" style="139" customWidth="1"/>
    <col min="8962" max="8962" width="18.5703125" style="139" customWidth="1"/>
    <col min="8963" max="8963" width="16.7109375" style="139" customWidth="1"/>
    <col min="8964" max="8964" width="15.85546875" style="139" customWidth="1"/>
    <col min="8965" max="8965" width="17.7109375" style="139" customWidth="1"/>
    <col min="8966" max="8966" width="20.28515625" style="139" customWidth="1"/>
    <col min="8967" max="8967" width="17.7109375" style="139" customWidth="1"/>
    <col min="8968" max="8968" width="18.85546875" style="139" customWidth="1"/>
    <col min="8969" max="8969" width="17" style="139" customWidth="1"/>
    <col min="8970" max="8970" width="16.7109375" style="139" customWidth="1"/>
    <col min="8971" max="8971" width="16" style="139" customWidth="1"/>
    <col min="8972" max="8972" width="15.85546875" style="139" customWidth="1"/>
    <col min="8973" max="8973" width="16.28515625" style="139" customWidth="1"/>
    <col min="8974" max="8974" width="15.85546875" style="139" customWidth="1"/>
    <col min="8975" max="8975" width="16.140625" style="139" customWidth="1"/>
    <col min="8976" max="8976" width="18.28515625" style="139" customWidth="1"/>
    <col min="8977" max="8977" width="15.42578125" style="139" customWidth="1"/>
    <col min="8978" max="8978" width="15" style="139" customWidth="1"/>
    <col min="8979" max="8980" width="15.85546875" style="139" customWidth="1"/>
    <col min="8981" max="8981" width="15.28515625" style="139" customWidth="1"/>
    <col min="8982" max="8982" width="16" style="139" customWidth="1"/>
    <col min="8983" max="8983" width="15.85546875" style="139" customWidth="1"/>
    <col min="8984" max="8984" width="16.140625" style="139" customWidth="1"/>
    <col min="8985" max="8985" width="15.7109375" style="139" customWidth="1"/>
    <col min="8986" max="8986" width="16.5703125" style="139" customWidth="1"/>
    <col min="8987" max="8987" width="15.5703125" style="139" customWidth="1"/>
    <col min="8988" max="8988" width="14.5703125" style="139" customWidth="1"/>
    <col min="8989" max="8989" width="17.28515625" style="139" customWidth="1"/>
    <col min="8990" max="8990" width="18.85546875" style="139" customWidth="1"/>
    <col min="8991" max="9216" width="9.140625" style="139"/>
    <col min="9217" max="9217" width="51.28515625" style="139" customWidth="1"/>
    <col min="9218" max="9218" width="18.5703125" style="139" customWidth="1"/>
    <col min="9219" max="9219" width="16.7109375" style="139" customWidth="1"/>
    <col min="9220" max="9220" width="15.85546875" style="139" customWidth="1"/>
    <col min="9221" max="9221" width="17.7109375" style="139" customWidth="1"/>
    <col min="9222" max="9222" width="20.28515625" style="139" customWidth="1"/>
    <col min="9223" max="9223" width="17.7109375" style="139" customWidth="1"/>
    <col min="9224" max="9224" width="18.85546875" style="139" customWidth="1"/>
    <col min="9225" max="9225" width="17" style="139" customWidth="1"/>
    <col min="9226" max="9226" width="16.7109375" style="139" customWidth="1"/>
    <col min="9227" max="9227" width="16" style="139" customWidth="1"/>
    <col min="9228" max="9228" width="15.85546875" style="139" customWidth="1"/>
    <col min="9229" max="9229" width="16.28515625" style="139" customWidth="1"/>
    <col min="9230" max="9230" width="15.85546875" style="139" customWidth="1"/>
    <col min="9231" max="9231" width="16.140625" style="139" customWidth="1"/>
    <col min="9232" max="9232" width="18.28515625" style="139" customWidth="1"/>
    <col min="9233" max="9233" width="15.42578125" style="139" customWidth="1"/>
    <col min="9234" max="9234" width="15" style="139" customWidth="1"/>
    <col min="9235" max="9236" width="15.85546875" style="139" customWidth="1"/>
    <col min="9237" max="9237" width="15.28515625" style="139" customWidth="1"/>
    <col min="9238" max="9238" width="16" style="139" customWidth="1"/>
    <col min="9239" max="9239" width="15.85546875" style="139" customWidth="1"/>
    <col min="9240" max="9240" width="16.140625" style="139" customWidth="1"/>
    <col min="9241" max="9241" width="15.7109375" style="139" customWidth="1"/>
    <col min="9242" max="9242" width="16.5703125" style="139" customWidth="1"/>
    <col min="9243" max="9243" width="15.5703125" style="139" customWidth="1"/>
    <col min="9244" max="9244" width="14.5703125" style="139" customWidth="1"/>
    <col min="9245" max="9245" width="17.28515625" style="139" customWidth="1"/>
    <col min="9246" max="9246" width="18.85546875" style="139" customWidth="1"/>
    <col min="9247" max="9472" width="9.140625" style="139"/>
    <col min="9473" max="9473" width="51.28515625" style="139" customWidth="1"/>
    <col min="9474" max="9474" width="18.5703125" style="139" customWidth="1"/>
    <col min="9475" max="9475" width="16.7109375" style="139" customWidth="1"/>
    <col min="9476" max="9476" width="15.85546875" style="139" customWidth="1"/>
    <col min="9477" max="9477" width="17.7109375" style="139" customWidth="1"/>
    <col min="9478" max="9478" width="20.28515625" style="139" customWidth="1"/>
    <col min="9479" max="9479" width="17.7109375" style="139" customWidth="1"/>
    <col min="9480" max="9480" width="18.85546875" style="139" customWidth="1"/>
    <col min="9481" max="9481" width="17" style="139" customWidth="1"/>
    <col min="9482" max="9482" width="16.7109375" style="139" customWidth="1"/>
    <col min="9483" max="9483" width="16" style="139" customWidth="1"/>
    <col min="9484" max="9484" width="15.85546875" style="139" customWidth="1"/>
    <col min="9485" max="9485" width="16.28515625" style="139" customWidth="1"/>
    <col min="9486" max="9486" width="15.85546875" style="139" customWidth="1"/>
    <col min="9487" max="9487" width="16.140625" style="139" customWidth="1"/>
    <col min="9488" max="9488" width="18.28515625" style="139" customWidth="1"/>
    <col min="9489" max="9489" width="15.42578125" style="139" customWidth="1"/>
    <col min="9490" max="9490" width="15" style="139" customWidth="1"/>
    <col min="9491" max="9492" width="15.85546875" style="139" customWidth="1"/>
    <col min="9493" max="9493" width="15.28515625" style="139" customWidth="1"/>
    <col min="9494" max="9494" width="16" style="139" customWidth="1"/>
    <col min="9495" max="9495" width="15.85546875" style="139" customWidth="1"/>
    <col min="9496" max="9496" width="16.140625" style="139" customWidth="1"/>
    <col min="9497" max="9497" width="15.7109375" style="139" customWidth="1"/>
    <col min="9498" max="9498" width="16.5703125" style="139" customWidth="1"/>
    <col min="9499" max="9499" width="15.5703125" style="139" customWidth="1"/>
    <col min="9500" max="9500" width="14.5703125" style="139" customWidth="1"/>
    <col min="9501" max="9501" width="17.28515625" style="139" customWidth="1"/>
    <col min="9502" max="9502" width="18.85546875" style="139" customWidth="1"/>
    <col min="9503" max="9728" width="9.140625" style="139"/>
    <col min="9729" max="9729" width="51.28515625" style="139" customWidth="1"/>
    <col min="9730" max="9730" width="18.5703125" style="139" customWidth="1"/>
    <col min="9731" max="9731" width="16.7109375" style="139" customWidth="1"/>
    <col min="9732" max="9732" width="15.85546875" style="139" customWidth="1"/>
    <col min="9733" max="9733" width="17.7109375" style="139" customWidth="1"/>
    <col min="9734" max="9734" width="20.28515625" style="139" customWidth="1"/>
    <col min="9735" max="9735" width="17.7109375" style="139" customWidth="1"/>
    <col min="9736" max="9736" width="18.85546875" style="139" customWidth="1"/>
    <col min="9737" max="9737" width="17" style="139" customWidth="1"/>
    <col min="9738" max="9738" width="16.7109375" style="139" customWidth="1"/>
    <col min="9739" max="9739" width="16" style="139" customWidth="1"/>
    <col min="9740" max="9740" width="15.85546875" style="139" customWidth="1"/>
    <col min="9741" max="9741" width="16.28515625" style="139" customWidth="1"/>
    <col min="9742" max="9742" width="15.85546875" style="139" customWidth="1"/>
    <col min="9743" max="9743" width="16.140625" style="139" customWidth="1"/>
    <col min="9744" max="9744" width="18.28515625" style="139" customWidth="1"/>
    <col min="9745" max="9745" width="15.42578125" style="139" customWidth="1"/>
    <col min="9746" max="9746" width="15" style="139" customWidth="1"/>
    <col min="9747" max="9748" width="15.85546875" style="139" customWidth="1"/>
    <col min="9749" max="9749" width="15.28515625" style="139" customWidth="1"/>
    <col min="9750" max="9750" width="16" style="139" customWidth="1"/>
    <col min="9751" max="9751" width="15.85546875" style="139" customWidth="1"/>
    <col min="9752" max="9752" width="16.140625" style="139" customWidth="1"/>
    <col min="9753" max="9753" width="15.7109375" style="139" customWidth="1"/>
    <col min="9754" max="9754" width="16.5703125" style="139" customWidth="1"/>
    <col min="9755" max="9755" width="15.5703125" style="139" customWidth="1"/>
    <col min="9756" max="9756" width="14.5703125" style="139" customWidth="1"/>
    <col min="9757" max="9757" width="17.28515625" style="139" customWidth="1"/>
    <col min="9758" max="9758" width="18.85546875" style="139" customWidth="1"/>
    <col min="9759" max="9984" width="9.140625" style="139"/>
    <col min="9985" max="9985" width="51.28515625" style="139" customWidth="1"/>
    <col min="9986" max="9986" width="18.5703125" style="139" customWidth="1"/>
    <col min="9987" max="9987" width="16.7109375" style="139" customWidth="1"/>
    <col min="9988" max="9988" width="15.85546875" style="139" customWidth="1"/>
    <col min="9989" max="9989" width="17.7109375" style="139" customWidth="1"/>
    <col min="9990" max="9990" width="20.28515625" style="139" customWidth="1"/>
    <col min="9991" max="9991" width="17.7109375" style="139" customWidth="1"/>
    <col min="9992" max="9992" width="18.85546875" style="139" customWidth="1"/>
    <col min="9993" max="9993" width="17" style="139" customWidth="1"/>
    <col min="9994" max="9994" width="16.7109375" style="139" customWidth="1"/>
    <col min="9995" max="9995" width="16" style="139" customWidth="1"/>
    <col min="9996" max="9996" width="15.85546875" style="139" customWidth="1"/>
    <col min="9997" max="9997" width="16.28515625" style="139" customWidth="1"/>
    <col min="9998" max="9998" width="15.85546875" style="139" customWidth="1"/>
    <col min="9999" max="9999" width="16.140625" style="139" customWidth="1"/>
    <col min="10000" max="10000" width="18.28515625" style="139" customWidth="1"/>
    <col min="10001" max="10001" width="15.42578125" style="139" customWidth="1"/>
    <col min="10002" max="10002" width="15" style="139" customWidth="1"/>
    <col min="10003" max="10004" width="15.85546875" style="139" customWidth="1"/>
    <col min="10005" max="10005" width="15.28515625" style="139" customWidth="1"/>
    <col min="10006" max="10006" width="16" style="139" customWidth="1"/>
    <col min="10007" max="10007" width="15.85546875" style="139" customWidth="1"/>
    <col min="10008" max="10008" width="16.140625" style="139" customWidth="1"/>
    <col min="10009" max="10009" width="15.7109375" style="139" customWidth="1"/>
    <col min="10010" max="10010" width="16.5703125" style="139" customWidth="1"/>
    <col min="10011" max="10011" width="15.5703125" style="139" customWidth="1"/>
    <col min="10012" max="10012" width="14.5703125" style="139" customWidth="1"/>
    <col min="10013" max="10013" width="17.28515625" style="139" customWidth="1"/>
    <col min="10014" max="10014" width="18.85546875" style="139" customWidth="1"/>
    <col min="10015" max="10240" width="9.140625" style="139"/>
    <col min="10241" max="10241" width="51.28515625" style="139" customWidth="1"/>
    <col min="10242" max="10242" width="18.5703125" style="139" customWidth="1"/>
    <col min="10243" max="10243" width="16.7109375" style="139" customWidth="1"/>
    <col min="10244" max="10244" width="15.85546875" style="139" customWidth="1"/>
    <col min="10245" max="10245" width="17.7109375" style="139" customWidth="1"/>
    <col min="10246" max="10246" width="20.28515625" style="139" customWidth="1"/>
    <col min="10247" max="10247" width="17.7109375" style="139" customWidth="1"/>
    <col min="10248" max="10248" width="18.85546875" style="139" customWidth="1"/>
    <col min="10249" max="10249" width="17" style="139" customWidth="1"/>
    <col min="10250" max="10250" width="16.7109375" style="139" customWidth="1"/>
    <col min="10251" max="10251" width="16" style="139" customWidth="1"/>
    <col min="10252" max="10252" width="15.85546875" style="139" customWidth="1"/>
    <col min="10253" max="10253" width="16.28515625" style="139" customWidth="1"/>
    <col min="10254" max="10254" width="15.85546875" style="139" customWidth="1"/>
    <col min="10255" max="10255" width="16.140625" style="139" customWidth="1"/>
    <col min="10256" max="10256" width="18.28515625" style="139" customWidth="1"/>
    <col min="10257" max="10257" width="15.42578125" style="139" customWidth="1"/>
    <col min="10258" max="10258" width="15" style="139" customWidth="1"/>
    <col min="10259" max="10260" width="15.85546875" style="139" customWidth="1"/>
    <col min="10261" max="10261" width="15.28515625" style="139" customWidth="1"/>
    <col min="10262" max="10262" width="16" style="139" customWidth="1"/>
    <col min="10263" max="10263" width="15.85546875" style="139" customWidth="1"/>
    <col min="10264" max="10264" width="16.140625" style="139" customWidth="1"/>
    <col min="10265" max="10265" width="15.7109375" style="139" customWidth="1"/>
    <col min="10266" max="10266" width="16.5703125" style="139" customWidth="1"/>
    <col min="10267" max="10267" width="15.5703125" style="139" customWidth="1"/>
    <col min="10268" max="10268" width="14.5703125" style="139" customWidth="1"/>
    <col min="10269" max="10269" width="17.28515625" style="139" customWidth="1"/>
    <col min="10270" max="10270" width="18.85546875" style="139" customWidth="1"/>
    <col min="10271" max="10496" width="9.140625" style="139"/>
    <col min="10497" max="10497" width="51.28515625" style="139" customWidth="1"/>
    <col min="10498" max="10498" width="18.5703125" style="139" customWidth="1"/>
    <col min="10499" max="10499" width="16.7109375" style="139" customWidth="1"/>
    <col min="10500" max="10500" width="15.85546875" style="139" customWidth="1"/>
    <col min="10501" max="10501" width="17.7109375" style="139" customWidth="1"/>
    <col min="10502" max="10502" width="20.28515625" style="139" customWidth="1"/>
    <col min="10503" max="10503" width="17.7109375" style="139" customWidth="1"/>
    <col min="10504" max="10504" width="18.85546875" style="139" customWidth="1"/>
    <col min="10505" max="10505" width="17" style="139" customWidth="1"/>
    <col min="10506" max="10506" width="16.7109375" style="139" customWidth="1"/>
    <col min="10507" max="10507" width="16" style="139" customWidth="1"/>
    <col min="10508" max="10508" width="15.85546875" style="139" customWidth="1"/>
    <col min="10509" max="10509" width="16.28515625" style="139" customWidth="1"/>
    <col min="10510" max="10510" width="15.85546875" style="139" customWidth="1"/>
    <col min="10511" max="10511" width="16.140625" style="139" customWidth="1"/>
    <col min="10512" max="10512" width="18.28515625" style="139" customWidth="1"/>
    <col min="10513" max="10513" width="15.42578125" style="139" customWidth="1"/>
    <col min="10514" max="10514" width="15" style="139" customWidth="1"/>
    <col min="10515" max="10516" width="15.85546875" style="139" customWidth="1"/>
    <col min="10517" max="10517" width="15.28515625" style="139" customWidth="1"/>
    <col min="10518" max="10518" width="16" style="139" customWidth="1"/>
    <col min="10519" max="10519" width="15.85546875" style="139" customWidth="1"/>
    <col min="10520" max="10520" width="16.140625" style="139" customWidth="1"/>
    <col min="10521" max="10521" width="15.7109375" style="139" customWidth="1"/>
    <col min="10522" max="10522" width="16.5703125" style="139" customWidth="1"/>
    <col min="10523" max="10523" width="15.5703125" style="139" customWidth="1"/>
    <col min="10524" max="10524" width="14.5703125" style="139" customWidth="1"/>
    <col min="10525" max="10525" width="17.28515625" style="139" customWidth="1"/>
    <col min="10526" max="10526" width="18.85546875" style="139" customWidth="1"/>
    <col min="10527" max="10752" width="9.140625" style="139"/>
    <col min="10753" max="10753" width="51.28515625" style="139" customWidth="1"/>
    <col min="10754" max="10754" width="18.5703125" style="139" customWidth="1"/>
    <col min="10755" max="10755" width="16.7109375" style="139" customWidth="1"/>
    <col min="10756" max="10756" width="15.85546875" style="139" customWidth="1"/>
    <col min="10757" max="10757" width="17.7109375" style="139" customWidth="1"/>
    <col min="10758" max="10758" width="20.28515625" style="139" customWidth="1"/>
    <col min="10759" max="10759" width="17.7109375" style="139" customWidth="1"/>
    <col min="10760" max="10760" width="18.85546875" style="139" customWidth="1"/>
    <col min="10761" max="10761" width="17" style="139" customWidth="1"/>
    <col min="10762" max="10762" width="16.7109375" style="139" customWidth="1"/>
    <col min="10763" max="10763" width="16" style="139" customWidth="1"/>
    <col min="10764" max="10764" width="15.85546875" style="139" customWidth="1"/>
    <col min="10765" max="10765" width="16.28515625" style="139" customWidth="1"/>
    <col min="10766" max="10766" width="15.85546875" style="139" customWidth="1"/>
    <col min="10767" max="10767" width="16.140625" style="139" customWidth="1"/>
    <col min="10768" max="10768" width="18.28515625" style="139" customWidth="1"/>
    <col min="10769" max="10769" width="15.42578125" style="139" customWidth="1"/>
    <col min="10770" max="10770" width="15" style="139" customWidth="1"/>
    <col min="10771" max="10772" width="15.85546875" style="139" customWidth="1"/>
    <col min="10773" max="10773" width="15.28515625" style="139" customWidth="1"/>
    <col min="10774" max="10774" width="16" style="139" customWidth="1"/>
    <col min="10775" max="10775" width="15.85546875" style="139" customWidth="1"/>
    <col min="10776" max="10776" width="16.140625" style="139" customWidth="1"/>
    <col min="10777" max="10777" width="15.7109375" style="139" customWidth="1"/>
    <col min="10778" max="10778" width="16.5703125" style="139" customWidth="1"/>
    <col min="10779" max="10779" width="15.5703125" style="139" customWidth="1"/>
    <col min="10780" max="10780" width="14.5703125" style="139" customWidth="1"/>
    <col min="10781" max="10781" width="17.28515625" style="139" customWidth="1"/>
    <col min="10782" max="10782" width="18.85546875" style="139" customWidth="1"/>
    <col min="10783" max="11008" width="9.140625" style="139"/>
    <col min="11009" max="11009" width="51.28515625" style="139" customWidth="1"/>
    <col min="11010" max="11010" width="18.5703125" style="139" customWidth="1"/>
    <col min="11011" max="11011" width="16.7109375" style="139" customWidth="1"/>
    <col min="11012" max="11012" width="15.85546875" style="139" customWidth="1"/>
    <col min="11013" max="11013" width="17.7109375" style="139" customWidth="1"/>
    <col min="11014" max="11014" width="20.28515625" style="139" customWidth="1"/>
    <col min="11015" max="11015" width="17.7109375" style="139" customWidth="1"/>
    <col min="11016" max="11016" width="18.85546875" style="139" customWidth="1"/>
    <col min="11017" max="11017" width="17" style="139" customWidth="1"/>
    <col min="11018" max="11018" width="16.7109375" style="139" customWidth="1"/>
    <col min="11019" max="11019" width="16" style="139" customWidth="1"/>
    <col min="11020" max="11020" width="15.85546875" style="139" customWidth="1"/>
    <col min="11021" max="11021" width="16.28515625" style="139" customWidth="1"/>
    <col min="11022" max="11022" width="15.85546875" style="139" customWidth="1"/>
    <col min="11023" max="11023" width="16.140625" style="139" customWidth="1"/>
    <col min="11024" max="11024" width="18.28515625" style="139" customWidth="1"/>
    <col min="11025" max="11025" width="15.42578125" style="139" customWidth="1"/>
    <col min="11026" max="11026" width="15" style="139" customWidth="1"/>
    <col min="11027" max="11028" width="15.85546875" style="139" customWidth="1"/>
    <col min="11029" max="11029" width="15.28515625" style="139" customWidth="1"/>
    <col min="11030" max="11030" width="16" style="139" customWidth="1"/>
    <col min="11031" max="11031" width="15.85546875" style="139" customWidth="1"/>
    <col min="11032" max="11032" width="16.140625" style="139" customWidth="1"/>
    <col min="11033" max="11033" width="15.7109375" style="139" customWidth="1"/>
    <col min="11034" max="11034" width="16.5703125" style="139" customWidth="1"/>
    <col min="11035" max="11035" width="15.5703125" style="139" customWidth="1"/>
    <col min="11036" max="11036" width="14.5703125" style="139" customWidth="1"/>
    <col min="11037" max="11037" width="17.28515625" style="139" customWidth="1"/>
    <col min="11038" max="11038" width="18.85546875" style="139" customWidth="1"/>
    <col min="11039" max="11264" width="9.140625" style="139"/>
    <col min="11265" max="11265" width="51.28515625" style="139" customWidth="1"/>
    <col min="11266" max="11266" width="18.5703125" style="139" customWidth="1"/>
    <col min="11267" max="11267" width="16.7109375" style="139" customWidth="1"/>
    <col min="11268" max="11268" width="15.85546875" style="139" customWidth="1"/>
    <col min="11269" max="11269" width="17.7109375" style="139" customWidth="1"/>
    <col min="11270" max="11270" width="20.28515625" style="139" customWidth="1"/>
    <col min="11271" max="11271" width="17.7109375" style="139" customWidth="1"/>
    <col min="11272" max="11272" width="18.85546875" style="139" customWidth="1"/>
    <col min="11273" max="11273" width="17" style="139" customWidth="1"/>
    <col min="11274" max="11274" width="16.7109375" style="139" customWidth="1"/>
    <col min="11275" max="11275" width="16" style="139" customWidth="1"/>
    <col min="11276" max="11276" width="15.85546875" style="139" customWidth="1"/>
    <col min="11277" max="11277" width="16.28515625" style="139" customWidth="1"/>
    <col min="11278" max="11278" width="15.85546875" style="139" customWidth="1"/>
    <col min="11279" max="11279" width="16.140625" style="139" customWidth="1"/>
    <col min="11280" max="11280" width="18.28515625" style="139" customWidth="1"/>
    <col min="11281" max="11281" width="15.42578125" style="139" customWidth="1"/>
    <col min="11282" max="11282" width="15" style="139" customWidth="1"/>
    <col min="11283" max="11284" width="15.85546875" style="139" customWidth="1"/>
    <col min="11285" max="11285" width="15.28515625" style="139" customWidth="1"/>
    <col min="11286" max="11286" width="16" style="139" customWidth="1"/>
    <col min="11287" max="11287" width="15.85546875" style="139" customWidth="1"/>
    <col min="11288" max="11288" width="16.140625" style="139" customWidth="1"/>
    <col min="11289" max="11289" width="15.7109375" style="139" customWidth="1"/>
    <col min="11290" max="11290" width="16.5703125" style="139" customWidth="1"/>
    <col min="11291" max="11291" width="15.5703125" style="139" customWidth="1"/>
    <col min="11292" max="11292" width="14.5703125" style="139" customWidth="1"/>
    <col min="11293" max="11293" width="17.28515625" style="139" customWidth="1"/>
    <col min="11294" max="11294" width="18.85546875" style="139" customWidth="1"/>
    <col min="11295" max="11520" width="9.140625" style="139"/>
    <col min="11521" max="11521" width="51.28515625" style="139" customWidth="1"/>
    <col min="11522" max="11522" width="18.5703125" style="139" customWidth="1"/>
    <col min="11523" max="11523" width="16.7109375" style="139" customWidth="1"/>
    <col min="11524" max="11524" width="15.85546875" style="139" customWidth="1"/>
    <col min="11525" max="11525" width="17.7109375" style="139" customWidth="1"/>
    <col min="11526" max="11526" width="20.28515625" style="139" customWidth="1"/>
    <col min="11527" max="11527" width="17.7109375" style="139" customWidth="1"/>
    <col min="11528" max="11528" width="18.85546875" style="139" customWidth="1"/>
    <col min="11529" max="11529" width="17" style="139" customWidth="1"/>
    <col min="11530" max="11530" width="16.7109375" style="139" customWidth="1"/>
    <col min="11531" max="11531" width="16" style="139" customWidth="1"/>
    <col min="11532" max="11532" width="15.85546875" style="139" customWidth="1"/>
    <col min="11533" max="11533" width="16.28515625" style="139" customWidth="1"/>
    <col min="11534" max="11534" width="15.85546875" style="139" customWidth="1"/>
    <col min="11535" max="11535" width="16.140625" style="139" customWidth="1"/>
    <col min="11536" max="11536" width="18.28515625" style="139" customWidth="1"/>
    <col min="11537" max="11537" width="15.42578125" style="139" customWidth="1"/>
    <col min="11538" max="11538" width="15" style="139" customWidth="1"/>
    <col min="11539" max="11540" width="15.85546875" style="139" customWidth="1"/>
    <col min="11541" max="11541" width="15.28515625" style="139" customWidth="1"/>
    <col min="11542" max="11542" width="16" style="139" customWidth="1"/>
    <col min="11543" max="11543" width="15.85546875" style="139" customWidth="1"/>
    <col min="11544" max="11544" width="16.140625" style="139" customWidth="1"/>
    <col min="11545" max="11545" width="15.7109375" style="139" customWidth="1"/>
    <col min="11546" max="11546" width="16.5703125" style="139" customWidth="1"/>
    <col min="11547" max="11547" width="15.5703125" style="139" customWidth="1"/>
    <col min="11548" max="11548" width="14.5703125" style="139" customWidth="1"/>
    <col min="11549" max="11549" width="17.28515625" style="139" customWidth="1"/>
    <col min="11550" max="11550" width="18.85546875" style="139" customWidth="1"/>
    <col min="11551" max="11776" width="9.140625" style="139"/>
    <col min="11777" max="11777" width="51.28515625" style="139" customWidth="1"/>
    <col min="11778" max="11778" width="18.5703125" style="139" customWidth="1"/>
    <col min="11779" max="11779" width="16.7109375" style="139" customWidth="1"/>
    <col min="11780" max="11780" width="15.85546875" style="139" customWidth="1"/>
    <col min="11781" max="11781" width="17.7109375" style="139" customWidth="1"/>
    <col min="11782" max="11782" width="20.28515625" style="139" customWidth="1"/>
    <col min="11783" max="11783" width="17.7109375" style="139" customWidth="1"/>
    <col min="11784" max="11784" width="18.85546875" style="139" customWidth="1"/>
    <col min="11785" max="11785" width="17" style="139" customWidth="1"/>
    <col min="11786" max="11786" width="16.7109375" style="139" customWidth="1"/>
    <col min="11787" max="11787" width="16" style="139" customWidth="1"/>
    <col min="11788" max="11788" width="15.85546875" style="139" customWidth="1"/>
    <col min="11789" max="11789" width="16.28515625" style="139" customWidth="1"/>
    <col min="11790" max="11790" width="15.85546875" style="139" customWidth="1"/>
    <col min="11791" max="11791" width="16.140625" style="139" customWidth="1"/>
    <col min="11792" max="11792" width="18.28515625" style="139" customWidth="1"/>
    <col min="11793" max="11793" width="15.42578125" style="139" customWidth="1"/>
    <col min="11794" max="11794" width="15" style="139" customWidth="1"/>
    <col min="11795" max="11796" width="15.85546875" style="139" customWidth="1"/>
    <col min="11797" max="11797" width="15.28515625" style="139" customWidth="1"/>
    <col min="11798" max="11798" width="16" style="139" customWidth="1"/>
    <col min="11799" max="11799" width="15.85546875" style="139" customWidth="1"/>
    <col min="11800" max="11800" width="16.140625" style="139" customWidth="1"/>
    <col min="11801" max="11801" width="15.7109375" style="139" customWidth="1"/>
    <col min="11802" max="11802" width="16.5703125" style="139" customWidth="1"/>
    <col min="11803" max="11803" width="15.5703125" style="139" customWidth="1"/>
    <col min="11804" max="11804" width="14.5703125" style="139" customWidth="1"/>
    <col min="11805" max="11805" width="17.28515625" style="139" customWidth="1"/>
    <col min="11806" max="11806" width="18.85546875" style="139" customWidth="1"/>
    <col min="11807" max="12032" width="9.140625" style="139"/>
    <col min="12033" max="12033" width="51.28515625" style="139" customWidth="1"/>
    <col min="12034" max="12034" width="18.5703125" style="139" customWidth="1"/>
    <col min="12035" max="12035" width="16.7109375" style="139" customWidth="1"/>
    <col min="12036" max="12036" width="15.85546875" style="139" customWidth="1"/>
    <col min="12037" max="12037" width="17.7109375" style="139" customWidth="1"/>
    <col min="12038" max="12038" width="20.28515625" style="139" customWidth="1"/>
    <col min="12039" max="12039" width="17.7109375" style="139" customWidth="1"/>
    <col min="12040" max="12040" width="18.85546875" style="139" customWidth="1"/>
    <col min="12041" max="12041" width="17" style="139" customWidth="1"/>
    <col min="12042" max="12042" width="16.7109375" style="139" customWidth="1"/>
    <col min="12043" max="12043" width="16" style="139" customWidth="1"/>
    <col min="12044" max="12044" width="15.85546875" style="139" customWidth="1"/>
    <col min="12045" max="12045" width="16.28515625" style="139" customWidth="1"/>
    <col min="12046" max="12046" width="15.85546875" style="139" customWidth="1"/>
    <col min="12047" max="12047" width="16.140625" style="139" customWidth="1"/>
    <col min="12048" max="12048" width="18.28515625" style="139" customWidth="1"/>
    <col min="12049" max="12049" width="15.42578125" style="139" customWidth="1"/>
    <col min="12050" max="12050" width="15" style="139" customWidth="1"/>
    <col min="12051" max="12052" width="15.85546875" style="139" customWidth="1"/>
    <col min="12053" max="12053" width="15.28515625" style="139" customWidth="1"/>
    <col min="12054" max="12054" width="16" style="139" customWidth="1"/>
    <col min="12055" max="12055" width="15.85546875" style="139" customWidth="1"/>
    <col min="12056" max="12056" width="16.140625" style="139" customWidth="1"/>
    <col min="12057" max="12057" width="15.7109375" style="139" customWidth="1"/>
    <col min="12058" max="12058" width="16.5703125" style="139" customWidth="1"/>
    <col min="12059" max="12059" width="15.5703125" style="139" customWidth="1"/>
    <col min="12060" max="12060" width="14.5703125" style="139" customWidth="1"/>
    <col min="12061" max="12061" width="17.28515625" style="139" customWidth="1"/>
    <col min="12062" max="12062" width="18.85546875" style="139" customWidth="1"/>
    <col min="12063" max="12288" width="9.140625" style="139"/>
    <col min="12289" max="12289" width="51.28515625" style="139" customWidth="1"/>
    <col min="12290" max="12290" width="18.5703125" style="139" customWidth="1"/>
    <col min="12291" max="12291" width="16.7109375" style="139" customWidth="1"/>
    <col min="12292" max="12292" width="15.85546875" style="139" customWidth="1"/>
    <col min="12293" max="12293" width="17.7109375" style="139" customWidth="1"/>
    <col min="12294" max="12294" width="20.28515625" style="139" customWidth="1"/>
    <col min="12295" max="12295" width="17.7109375" style="139" customWidth="1"/>
    <col min="12296" max="12296" width="18.85546875" style="139" customWidth="1"/>
    <col min="12297" max="12297" width="17" style="139" customWidth="1"/>
    <col min="12298" max="12298" width="16.7109375" style="139" customWidth="1"/>
    <col min="12299" max="12299" width="16" style="139" customWidth="1"/>
    <col min="12300" max="12300" width="15.85546875" style="139" customWidth="1"/>
    <col min="12301" max="12301" width="16.28515625" style="139" customWidth="1"/>
    <col min="12302" max="12302" width="15.85546875" style="139" customWidth="1"/>
    <col min="12303" max="12303" width="16.140625" style="139" customWidth="1"/>
    <col min="12304" max="12304" width="18.28515625" style="139" customWidth="1"/>
    <col min="12305" max="12305" width="15.42578125" style="139" customWidth="1"/>
    <col min="12306" max="12306" width="15" style="139" customWidth="1"/>
    <col min="12307" max="12308" width="15.85546875" style="139" customWidth="1"/>
    <col min="12309" max="12309" width="15.28515625" style="139" customWidth="1"/>
    <col min="12310" max="12310" width="16" style="139" customWidth="1"/>
    <col min="12311" max="12311" width="15.85546875" style="139" customWidth="1"/>
    <col min="12312" max="12312" width="16.140625" style="139" customWidth="1"/>
    <col min="12313" max="12313" width="15.7109375" style="139" customWidth="1"/>
    <col min="12314" max="12314" width="16.5703125" style="139" customWidth="1"/>
    <col min="12315" max="12315" width="15.5703125" style="139" customWidth="1"/>
    <col min="12316" max="12316" width="14.5703125" style="139" customWidth="1"/>
    <col min="12317" max="12317" width="17.28515625" style="139" customWidth="1"/>
    <col min="12318" max="12318" width="18.85546875" style="139" customWidth="1"/>
    <col min="12319" max="12544" width="9.140625" style="139"/>
    <col min="12545" max="12545" width="51.28515625" style="139" customWidth="1"/>
    <col min="12546" max="12546" width="18.5703125" style="139" customWidth="1"/>
    <col min="12547" max="12547" width="16.7109375" style="139" customWidth="1"/>
    <col min="12548" max="12548" width="15.85546875" style="139" customWidth="1"/>
    <col min="12549" max="12549" width="17.7109375" style="139" customWidth="1"/>
    <col min="12550" max="12550" width="20.28515625" style="139" customWidth="1"/>
    <col min="12551" max="12551" width="17.7109375" style="139" customWidth="1"/>
    <col min="12552" max="12552" width="18.85546875" style="139" customWidth="1"/>
    <col min="12553" max="12553" width="17" style="139" customWidth="1"/>
    <col min="12554" max="12554" width="16.7109375" style="139" customWidth="1"/>
    <col min="12555" max="12555" width="16" style="139" customWidth="1"/>
    <col min="12556" max="12556" width="15.85546875" style="139" customWidth="1"/>
    <col min="12557" max="12557" width="16.28515625" style="139" customWidth="1"/>
    <col min="12558" max="12558" width="15.85546875" style="139" customWidth="1"/>
    <col min="12559" max="12559" width="16.140625" style="139" customWidth="1"/>
    <col min="12560" max="12560" width="18.28515625" style="139" customWidth="1"/>
    <col min="12561" max="12561" width="15.42578125" style="139" customWidth="1"/>
    <col min="12562" max="12562" width="15" style="139" customWidth="1"/>
    <col min="12563" max="12564" width="15.85546875" style="139" customWidth="1"/>
    <col min="12565" max="12565" width="15.28515625" style="139" customWidth="1"/>
    <col min="12566" max="12566" width="16" style="139" customWidth="1"/>
    <col min="12567" max="12567" width="15.85546875" style="139" customWidth="1"/>
    <col min="12568" max="12568" width="16.140625" style="139" customWidth="1"/>
    <col min="12569" max="12569" width="15.7109375" style="139" customWidth="1"/>
    <col min="12570" max="12570" width="16.5703125" style="139" customWidth="1"/>
    <col min="12571" max="12571" width="15.5703125" style="139" customWidth="1"/>
    <col min="12572" max="12572" width="14.5703125" style="139" customWidth="1"/>
    <col min="12573" max="12573" width="17.28515625" style="139" customWidth="1"/>
    <col min="12574" max="12574" width="18.85546875" style="139" customWidth="1"/>
    <col min="12575" max="12800" width="9.140625" style="139"/>
    <col min="12801" max="12801" width="51.28515625" style="139" customWidth="1"/>
    <col min="12802" max="12802" width="18.5703125" style="139" customWidth="1"/>
    <col min="12803" max="12803" width="16.7109375" style="139" customWidth="1"/>
    <col min="12804" max="12804" width="15.85546875" style="139" customWidth="1"/>
    <col min="12805" max="12805" width="17.7109375" style="139" customWidth="1"/>
    <col min="12806" max="12806" width="20.28515625" style="139" customWidth="1"/>
    <col min="12807" max="12807" width="17.7109375" style="139" customWidth="1"/>
    <col min="12808" max="12808" width="18.85546875" style="139" customWidth="1"/>
    <col min="12809" max="12809" width="17" style="139" customWidth="1"/>
    <col min="12810" max="12810" width="16.7109375" style="139" customWidth="1"/>
    <col min="12811" max="12811" width="16" style="139" customWidth="1"/>
    <col min="12812" max="12812" width="15.85546875" style="139" customWidth="1"/>
    <col min="12813" max="12813" width="16.28515625" style="139" customWidth="1"/>
    <col min="12814" max="12814" width="15.85546875" style="139" customWidth="1"/>
    <col min="12815" max="12815" width="16.140625" style="139" customWidth="1"/>
    <col min="12816" max="12816" width="18.28515625" style="139" customWidth="1"/>
    <col min="12817" max="12817" width="15.42578125" style="139" customWidth="1"/>
    <col min="12818" max="12818" width="15" style="139" customWidth="1"/>
    <col min="12819" max="12820" width="15.85546875" style="139" customWidth="1"/>
    <col min="12821" max="12821" width="15.28515625" style="139" customWidth="1"/>
    <col min="12822" max="12822" width="16" style="139" customWidth="1"/>
    <col min="12823" max="12823" width="15.85546875" style="139" customWidth="1"/>
    <col min="12824" max="12824" width="16.140625" style="139" customWidth="1"/>
    <col min="12825" max="12825" width="15.7109375" style="139" customWidth="1"/>
    <col min="12826" max="12826" width="16.5703125" style="139" customWidth="1"/>
    <col min="12827" max="12827" width="15.5703125" style="139" customWidth="1"/>
    <col min="12828" max="12828" width="14.5703125" style="139" customWidth="1"/>
    <col min="12829" max="12829" width="17.28515625" style="139" customWidth="1"/>
    <col min="12830" max="12830" width="18.85546875" style="139" customWidth="1"/>
    <col min="12831" max="13056" width="9.140625" style="139"/>
    <col min="13057" max="13057" width="51.28515625" style="139" customWidth="1"/>
    <col min="13058" max="13058" width="18.5703125" style="139" customWidth="1"/>
    <col min="13059" max="13059" width="16.7109375" style="139" customWidth="1"/>
    <col min="13060" max="13060" width="15.85546875" style="139" customWidth="1"/>
    <col min="13061" max="13061" width="17.7109375" style="139" customWidth="1"/>
    <col min="13062" max="13062" width="20.28515625" style="139" customWidth="1"/>
    <col min="13063" max="13063" width="17.7109375" style="139" customWidth="1"/>
    <col min="13064" max="13064" width="18.85546875" style="139" customWidth="1"/>
    <col min="13065" max="13065" width="17" style="139" customWidth="1"/>
    <col min="13066" max="13066" width="16.7109375" style="139" customWidth="1"/>
    <col min="13067" max="13067" width="16" style="139" customWidth="1"/>
    <col min="13068" max="13068" width="15.85546875" style="139" customWidth="1"/>
    <col min="13069" max="13069" width="16.28515625" style="139" customWidth="1"/>
    <col min="13070" max="13070" width="15.85546875" style="139" customWidth="1"/>
    <col min="13071" max="13071" width="16.140625" style="139" customWidth="1"/>
    <col min="13072" max="13072" width="18.28515625" style="139" customWidth="1"/>
    <col min="13073" max="13073" width="15.42578125" style="139" customWidth="1"/>
    <col min="13074" max="13074" width="15" style="139" customWidth="1"/>
    <col min="13075" max="13076" width="15.85546875" style="139" customWidth="1"/>
    <col min="13077" max="13077" width="15.28515625" style="139" customWidth="1"/>
    <col min="13078" max="13078" width="16" style="139" customWidth="1"/>
    <col min="13079" max="13079" width="15.85546875" style="139" customWidth="1"/>
    <col min="13080" max="13080" width="16.140625" style="139" customWidth="1"/>
    <col min="13081" max="13081" width="15.7109375" style="139" customWidth="1"/>
    <col min="13082" max="13082" width="16.5703125" style="139" customWidth="1"/>
    <col min="13083" max="13083" width="15.5703125" style="139" customWidth="1"/>
    <col min="13084" max="13084" width="14.5703125" style="139" customWidth="1"/>
    <col min="13085" max="13085" width="17.28515625" style="139" customWidth="1"/>
    <col min="13086" max="13086" width="18.85546875" style="139" customWidth="1"/>
    <col min="13087" max="13312" width="9.140625" style="139"/>
    <col min="13313" max="13313" width="51.28515625" style="139" customWidth="1"/>
    <col min="13314" max="13314" width="18.5703125" style="139" customWidth="1"/>
    <col min="13315" max="13315" width="16.7109375" style="139" customWidth="1"/>
    <col min="13316" max="13316" width="15.85546875" style="139" customWidth="1"/>
    <col min="13317" max="13317" width="17.7109375" style="139" customWidth="1"/>
    <col min="13318" max="13318" width="20.28515625" style="139" customWidth="1"/>
    <col min="13319" max="13319" width="17.7109375" style="139" customWidth="1"/>
    <col min="13320" max="13320" width="18.85546875" style="139" customWidth="1"/>
    <col min="13321" max="13321" width="17" style="139" customWidth="1"/>
    <col min="13322" max="13322" width="16.7109375" style="139" customWidth="1"/>
    <col min="13323" max="13323" width="16" style="139" customWidth="1"/>
    <col min="13324" max="13324" width="15.85546875" style="139" customWidth="1"/>
    <col min="13325" max="13325" width="16.28515625" style="139" customWidth="1"/>
    <col min="13326" max="13326" width="15.85546875" style="139" customWidth="1"/>
    <col min="13327" max="13327" width="16.140625" style="139" customWidth="1"/>
    <col min="13328" max="13328" width="18.28515625" style="139" customWidth="1"/>
    <col min="13329" max="13329" width="15.42578125" style="139" customWidth="1"/>
    <col min="13330" max="13330" width="15" style="139" customWidth="1"/>
    <col min="13331" max="13332" width="15.85546875" style="139" customWidth="1"/>
    <col min="13333" max="13333" width="15.28515625" style="139" customWidth="1"/>
    <col min="13334" max="13334" width="16" style="139" customWidth="1"/>
    <col min="13335" max="13335" width="15.85546875" style="139" customWidth="1"/>
    <col min="13336" max="13336" width="16.140625" style="139" customWidth="1"/>
    <col min="13337" max="13337" width="15.7109375" style="139" customWidth="1"/>
    <col min="13338" max="13338" width="16.5703125" style="139" customWidth="1"/>
    <col min="13339" max="13339" width="15.5703125" style="139" customWidth="1"/>
    <col min="13340" max="13340" width="14.5703125" style="139" customWidth="1"/>
    <col min="13341" max="13341" width="17.28515625" style="139" customWidth="1"/>
    <col min="13342" max="13342" width="18.85546875" style="139" customWidth="1"/>
    <col min="13343" max="13568" width="9.140625" style="139"/>
    <col min="13569" max="13569" width="51.28515625" style="139" customWidth="1"/>
    <col min="13570" max="13570" width="18.5703125" style="139" customWidth="1"/>
    <col min="13571" max="13571" width="16.7109375" style="139" customWidth="1"/>
    <col min="13572" max="13572" width="15.85546875" style="139" customWidth="1"/>
    <col min="13573" max="13573" width="17.7109375" style="139" customWidth="1"/>
    <col min="13574" max="13574" width="20.28515625" style="139" customWidth="1"/>
    <col min="13575" max="13575" width="17.7109375" style="139" customWidth="1"/>
    <col min="13576" max="13576" width="18.85546875" style="139" customWidth="1"/>
    <col min="13577" max="13577" width="17" style="139" customWidth="1"/>
    <col min="13578" max="13578" width="16.7109375" style="139" customWidth="1"/>
    <col min="13579" max="13579" width="16" style="139" customWidth="1"/>
    <col min="13580" max="13580" width="15.85546875" style="139" customWidth="1"/>
    <col min="13581" max="13581" width="16.28515625" style="139" customWidth="1"/>
    <col min="13582" max="13582" width="15.85546875" style="139" customWidth="1"/>
    <col min="13583" max="13583" width="16.140625" style="139" customWidth="1"/>
    <col min="13584" max="13584" width="18.28515625" style="139" customWidth="1"/>
    <col min="13585" max="13585" width="15.42578125" style="139" customWidth="1"/>
    <col min="13586" max="13586" width="15" style="139" customWidth="1"/>
    <col min="13587" max="13588" width="15.85546875" style="139" customWidth="1"/>
    <col min="13589" max="13589" width="15.28515625" style="139" customWidth="1"/>
    <col min="13590" max="13590" width="16" style="139" customWidth="1"/>
    <col min="13591" max="13591" width="15.85546875" style="139" customWidth="1"/>
    <col min="13592" max="13592" width="16.140625" style="139" customWidth="1"/>
    <col min="13593" max="13593" width="15.7109375" style="139" customWidth="1"/>
    <col min="13594" max="13594" width="16.5703125" style="139" customWidth="1"/>
    <col min="13595" max="13595" width="15.5703125" style="139" customWidth="1"/>
    <col min="13596" max="13596" width="14.5703125" style="139" customWidth="1"/>
    <col min="13597" max="13597" width="17.28515625" style="139" customWidth="1"/>
    <col min="13598" max="13598" width="18.85546875" style="139" customWidth="1"/>
    <col min="13599" max="13824" width="9.140625" style="139"/>
    <col min="13825" max="13825" width="51.28515625" style="139" customWidth="1"/>
    <col min="13826" max="13826" width="18.5703125" style="139" customWidth="1"/>
    <col min="13827" max="13827" width="16.7109375" style="139" customWidth="1"/>
    <col min="13828" max="13828" width="15.85546875" style="139" customWidth="1"/>
    <col min="13829" max="13829" width="17.7109375" style="139" customWidth="1"/>
    <col min="13830" max="13830" width="20.28515625" style="139" customWidth="1"/>
    <col min="13831" max="13831" width="17.7109375" style="139" customWidth="1"/>
    <col min="13832" max="13832" width="18.85546875" style="139" customWidth="1"/>
    <col min="13833" max="13833" width="17" style="139" customWidth="1"/>
    <col min="13834" max="13834" width="16.7109375" style="139" customWidth="1"/>
    <col min="13835" max="13835" width="16" style="139" customWidth="1"/>
    <col min="13836" max="13836" width="15.85546875" style="139" customWidth="1"/>
    <col min="13837" max="13837" width="16.28515625" style="139" customWidth="1"/>
    <col min="13838" max="13838" width="15.85546875" style="139" customWidth="1"/>
    <col min="13839" max="13839" width="16.140625" style="139" customWidth="1"/>
    <col min="13840" max="13840" width="18.28515625" style="139" customWidth="1"/>
    <col min="13841" max="13841" width="15.42578125" style="139" customWidth="1"/>
    <col min="13842" max="13842" width="15" style="139" customWidth="1"/>
    <col min="13843" max="13844" width="15.85546875" style="139" customWidth="1"/>
    <col min="13845" max="13845" width="15.28515625" style="139" customWidth="1"/>
    <col min="13846" max="13846" width="16" style="139" customWidth="1"/>
    <col min="13847" max="13847" width="15.85546875" style="139" customWidth="1"/>
    <col min="13848" max="13848" width="16.140625" style="139" customWidth="1"/>
    <col min="13849" max="13849" width="15.7109375" style="139" customWidth="1"/>
    <col min="13850" max="13850" width="16.5703125" style="139" customWidth="1"/>
    <col min="13851" max="13851" width="15.5703125" style="139" customWidth="1"/>
    <col min="13852" max="13852" width="14.5703125" style="139" customWidth="1"/>
    <col min="13853" max="13853" width="17.28515625" style="139" customWidth="1"/>
    <col min="13854" max="13854" width="18.85546875" style="139" customWidth="1"/>
    <col min="13855" max="14080" width="9.140625" style="139"/>
    <col min="14081" max="14081" width="51.28515625" style="139" customWidth="1"/>
    <col min="14082" max="14082" width="18.5703125" style="139" customWidth="1"/>
    <col min="14083" max="14083" width="16.7109375" style="139" customWidth="1"/>
    <col min="14084" max="14084" width="15.85546875" style="139" customWidth="1"/>
    <col min="14085" max="14085" width="17.7109375" style="139" customWidth="1"/>
    <col min="14086" max="14086" width="20.28515625" style="139" customWidth="1"/>
    <col min="14087" max="14087" width="17.7109375" style="139" customWidth="1"/>
    <col min="14088" max="14088" width="18.85546875" style="139" customWidth="1"/>
    <col min="14089" max="14089" width="17" style="139" customWidth="1"/>
    <col min="14090" max="14090" width="16.7109375" style="139" customWidth="1"/>
    <col min="14091" max="14091" width="16" style="139" customWidth="1"/>
    <col min="14092" max="14092" width="15.85546875" style="139" customWidth="1"/>
    <col min="14093" max="14093" width="16.28515625" style="139" customWidth="1"/>
    <col min="14094" max="14094" width="15.85546875" style="139" customWidth="1"/>
    <col min="14095" max="14095" width="16.140625" style="139" customWidth="1"/>
    <col min="14096" max="14096" width="18.28515625" style="139" customWidth="1"/>
    <col min="14097" max="14097" width="15.42578125" style="139" customWidth="1"/>
    <col min="14098" max="14098" width="15" style="139" customWidth="1"/>
    <col min="14099" max="14100" width="15.85546875" style="139" customWidth="1"/>
    <col min="14101" max="14101" width="15.28515625" style="139" customWidth="1"/>
    <col min="14102" max="14102" width="16" style="139" customWidth="1"/>
    <col min="14103" max="14103" width="15.85546875" style="139" customWidth="1"/>
    <col min="14104" max="14104" width="16.140625" style="139" customWidth="1"/>
    <col min="14105" max="14105" width="15.7109375" style="139" customWidth="1"/>
    <col min="14106" max="14106" width="16.5703125" style="139" customWidth="1"/>
    <col min="14107" max="14107" width="15.5703125" style="139" customWidth="1"/>
    <col min="14108" max="14108" width="14.5703125" style="139" customWidth="1"/>
    <col min="14109" max="14109" width="17.28515625" style="139" customWidth="1"/>
    <col min="14110" max="14110" width="18.85546875" style="139" customWidth="1"/>
    <col min="14111" max="14336" width="9.140625" style="139"/>
    <col min="14337" max="14337" width="51.28515625" style="139" customWidth="1"/>
    <col min="14338" max="14338" width="18.5703125" style="139" customWidth="1"/>
    <col min="14339" max="14339" width="16.7109375" style="139" customWidth="1"/>
    <col min="14340" max="14340" width="15.85546875" style="139" customWidth="1"/>
    <col min="14341" max="14341" width="17.7109375" style="139" customWidth="1"/>
    <col min="14342" max="14342" width="20.28515625" style="139" customWidth="1"/>
    <col min="14343" max="14343" width="17.7109375" style="139" customWidth="1"/>
    <col min="14344" max="14344" width="18.85546875" style="139" customWidth="1"/>
    <col min="14345" max="14345" width="17" style="139" customWidth="1"/>
    <col min="14346" max="14346" width="16.7109375" style="139" customWidth="1"/>
    <col min="14347" max="14347" width="16" style="139" customWidth="1"/>
    <col min="14348" max="14348" width="15.85546875" style="139" customWidth="1"/>
    <col min="14349" max="14349" width="16.28515625" style="139" customWidth="1"/>
    <col min="14350" max="14350" width="15.85546875" style="139" customWidth="1"/>
    <col min="14351" max="14351" width="16.140625" style="139" customWidth="1"/>
    <col min="14352" max="14352" width="18.28515625" style="139" customWidth="1"/>
    <col min="14353" max="14353" width="15.42578125" style="139" customWidth="1"/>
    <col min="14354" max="14354" width="15" style="139" customWidth="1"/>
    <col min="14355" max="14356" width="15.85546875" style="139" customWidth="1"/>
    <col min="14357" max="14357" width="15.28515625" style="139" customWidth="1"/>
    <col min="14358" max="14358" width="16" style="139" customWidth="1"/>
    <col min="14359" max="14359" width="15.85546875" style="139" customWidth="1"/>
    <col min="14360" max="14360" width="16.140625" style="139" customWidth="1"/>
    <col min="14361" max="14361" width="15.7109375" style="139" customWidth="1"/>
    <col min="14362" max="14362" width="16.5703125" style="139" customWidth="1"/>
    <col min="14363" max="14363" width="15.5703125" style="139" customWidth="1"/>
    <col min="14364" max="14364" width="14.5703125" style="139" customWidth="1"/>
    <col min="14365" max="14365" width="17.28515625" style="139" customWidth="1"/>
    <col min="14366" max="14366" width="18.85546875" style="139" customWidth="1"/>
    <col min="14367" max="14592" width="9.140625" style="139"/>
    <col min="14593" max="14593" width="51.28515625" style="139" customWidth="1"/>
    <col min="14594" max="14594" width="18.5703125" style="139" customWidth="1"/>
    <col min="14595" max="14595" width="16.7109375" style="139" customWidth="1"/>
    <col min="14596" max="14596" width="15.85546875" style="139" customWidth="1"/>
    <col min="14597" max="14597" width="17.7109375" style="139" customWidth="1"/>
    <col min="14598" max="14598" width="20.28515625" style="139" customWidth="1"/>
    <col min="14599" max="14599" width="17.7109375" style="139" customWidth="1"/>
    <col min="14600" max="14600" width="18.85546875" style="139" customWidth="1"/>
    <col min="14601" max="14601" width="17" style="139" customWidth="1"/>
    <col min="14602" max="14602" width="16.7109375" style="139" customWidth="1"/>
    <col min="14603" max="14603" width="16" style="139" customWidth="1"/>
    <col min="14604" max="14604" width="15.85546875" style="139" customWidth="1"/>
    <col min="14605" max="14605" width="16.28515625" style="139" customWidth="1"/>
    <col min="14606" max="14606" width="15.85546875" style="139" customWidth="1"/>
    <col min="14607" max="14607" width="16.140625" style="139" customWidth="1"/>
    <col min="14608" max="14608" width="18.28515625" style="139" customWidth="1"/>
    <col min="14609" max="14609" width="15.42578125" style="139" customWidth="1"/>
    <col min="14610" max="14610" width="15" style="139" customWidth="1"/>
    <col min="14611" max="14612" width="15.85546875" style="139" customWidth="1"/>
    <col min="14613" max="14613" width="15.28515625" style="139" customWidth="1"/>
    <col min="14614" max="14614" width="16" style="139" customWidth="1"/>
    <col min="14615" max="14615" width="15.85546875" style="139" customWidth="1"/>
    <col min="14616" max="14616" width="16.140625" style="139" customWidth="1"/>
    <col min="14617" max="14617" width="15.7109375" style="139" customWidth="1"/>
    <col min="14618" max="14618" width="16.5703125" style="139" customWidth="1"/>
    <col min="14619" max="14619" width="15.5703125" style="139" customWidth="1"/>
    <col min="14620" max="14620" width="14.5703125" style="139" customWidth="1"/>
    <col min="14621" max="14621" width="17.28515625" style="139" customWidth="1"/>
    <col min="14622" max="14622" width="18.85546875" style="139" customWidth="1"/>
    <col min="14623" max="14848" width="9.140625" style="139"/>
    <col min="14849" max="14849" width="51.28515625" style="139" customWidth="1"/>
    <col min="14850" max="14850" width="18.5703125" style="139" customWidth="1"/>
    <col min="14851" max="14851" width="16.7109375" style="139" customWidth="1"/>
    <col min="14852" max="14852" width="15.85546875" style="139" customWidth="1"/>
    <col min="14853" max="14853" width="17.7109375" style="139" customWidth="1"/>
    <col min="14854" max="14854" width="20.28515625" style="139" customWidth="1"/>
    <col min="14855" max="14855" width="17.7109375" style="139" customWidth="1"/>
    <col min="14856" max="14856" width="18.85546875" style="139" customWidth="1"/>
    <col min="14857" max="14857" width="17" style="139" customWidth="1"/>
    <col min="14858" max="14858" width="16.7109375" style="139" customWidth="1"/>
    <col min="14859" max="14859" width="16" style="139" customWidth="1"/>
    <col min="14860" max="14860" width="15.85546875" style="139" customWidth="1"/>
    <col min="14861" max="14861" width="16.28515625" style="139" customWidth="1"/>
    <col min="14862" max="14862" width="15.85546875" style="139" customWidth="1"/>
    <col min="14863" max="14863" width="16.140625" style="139" customWidth="1"/>
    <col min="14864" max="14864" width="18.28515625" style="139" customWidth="1"/>
    <col min="14865" max="14865" width="15.42578125" style="139" customWidth="1"/>
    <col min="14866" max="14866" width="15" style="139" customWidth="1"/>
    <col min="14867" max="14868" width="15.85546875" style="139" customWidth="1"/>
    <col min="14869" max="14869" width="15.28515625" style="139" customWidth="1"/>
    <col min="14870" max="14870" width="16" style="139" customWidth="1"/>
    <col min="14871" max="14871" width="15.85546875" style="139" customWidth="1"/>
    <col min="14872" max="14872" width="16.140625" style="139" customWidth="1"/>
    <col min="14873" max="14873" width="15.7109375" style="139" customWidth="1"/>
    <col min="14874" max="14874" width="16.5703125" style="139" customWidth="1"/>
    <col min="14875" max="14875" width="15.5703125" style="139" customWidth="1"/>
    <col min="14876" max="14876" width="14.5703125" style="139" customWidth="1"/>
    <col min="14877" max="14877" width="17.28515625" style="139" customWidth="1"/>
    <col min="14878" max="14878" width="18.85546875" style="139" customWidth="1"/>
    <col min="14879" max="15104" width="9.140625" style="139"/>
    <col min="15105" max="15105" width="51.28515625" style="139" customWidth="1"/>
    <col min="15106" max="15106" width="18.5703125" style="139" customWidth="1"/>
    <col min="15107" max="15107" width="16.7109375" style="139" customWidth="1"/>
    <col min="15108" max="15108" width="15.85546875" style="139" customWidth="1"/>
    <col min="15109" max="15109" width="17.7109375" style="139" customWidth="1"/>
    <col min="15110" max="15110" width="20.28515625" style="139" customWidth="1"/>
    <col min="15111" max="15111" width="17.7109375" style="139" customWidth="1"/>
    <col min="15112" max="15112" width="18.85546875" style="139" customWidth="1"/>
    <col min="15113" max="15113" width="17" style="139" customWidth="1"/>
    <col min="15114" max="15114" width="16.7109375" style="139" customWidth="1"/>
    <col min="15115" max="15115" width="16" style="139" customWidth="1"/>
    <col min="15116" max="15116" width="15.85546875" style="139" customWidth="1"/>
    <col min="15117" max="15117" width="16.28515625" style="139" customWidth="1"/>
    <col min="15118" max="15118" width="15.85546875" style="139" customWidth="1"/>
    <col min="15119" max="15119" width="16.140625" style="139" customWidth="1"/>
    <col min="15120" max="15120" width="18.28515625" style="139" customWidth="1"/>
    <col min="15121" max="15121" width="15.42578125" style="139" customWidth="1"/>
    <col min="15122" max="15122" width="15" style="139" customWidth="1"/>
    <col min="15123" max="15124" width="15.85546875" style="139" customWidth="1"/>
    <col min="15125" max="15125" width="15.28515625" style="139" customWidth="1"/>
    <col min="15126" max="15126" width="16" style="139" customWidth="1"/>
    <col min="15127" max="15127" width="15.85546875" style="139" customWidth="1"/>
    <col min="15128" max="15128" width="16.140625" style="139" customWidth="1"/>
    <col min="15129" max="15129" width="15.7109375" style="139" customWidth="1"/>
    <col min="15130" max="15130" width="16.5703125" style="139" customWidth="1"/>
    <col min="15131" max="15131" width="15.5703125" style="139" customWidth="1"/>
    <col min="15132" max="15132" width="14.5703125" style="139" customWidth="1"/>
    <col min="15133" max="15133" width="17.28515625" style="139" customWidth="1"/>
    <col min="15134" max="15134" width="18.85546875" style="139" customWidth="1"/>
    <col min="15135" max="15360" width="9.140625" style="139"/>
    <col min="15361" max="15361" width="51.28515625" style="139" customWidth="1"/>
    <col min="15362" max="15362" width="18.5703125" style="139" customWidth="1"/>
    <col min="15363" max="15363" width="16.7109375" style="139" customWidth="1"/>
    <col min="15364" max="15364" width="15.85546875" style="139" customWidth="1"/>
    <col min="15365" max="15365" width="17.7109375" style="139" customWidth="1"/>
    <col min="15366" max="15366" width="20.28515625" style="139" customWidth="1"/>
    <col min="15367" max="15367" width="17.7109375" style="139" customWidth="1"/>
    <col min="15368" max="15368" width="18.85546875" style="139" customWidth="1"/>
    <col min="15369" max="15369" width="17" style="139" customWidth="1"/>
    <col min="15370" max="15370" width="16.7109375" style="139" customWidth="1"/>
    <col min="15371" max="15371" width="16" style="139" customWidth="1"/>
    <col min="15372" max="15372" width="15.85546875" style="139" customWidth="1"/>
    <col min="15373" max="15373" width="16.28515625" style="139" customWidth="1"/>
    <col min="15374" max="15374" width="15.85546875" style="139" customWidth="1"/>
    <col min="15375" max="15375" width="16.140625" style="139" customWidth="1"/>
    <col min="15376" max="15376" width="18.28515625" style="139" customWidth="1"/>
    <col min="15377" max="15377" width="15.42578125" style="139" customWidth="1"/>
    <col min="15378" max="15378" width="15" style="139" customWidth="1"/>
    <col min="15379" max="15380" width="15.85546875" style="139" customWidth="1"/>
    <col min="15381" max="15381" width="15.28515625" style="139" customWidth="1"/>
    <col min="15382" max="15382" width="16" style="139" customWidth="1"/>
    <col min="15383" max="15383" width="15.85546875" style="139" customWidth="1"/>
    <col min="15384" max="15384" width="16.140625" style="139" customWidth="1"/>
    <col min="15385" max="15385" width="15.7109375" style="139" customWidth="1"/>
    <col min="15386" max="15386" width="16.5703125" style="139" customWidth="1"/>
    <col min="15387" max="15387" width="15.5703125" style="139" customWidth="1"/>
    <col min="15388" max="15388" width="14.5703125" style="139" customWidth="1"/>
    <col min="15389" max="15389" width="17.28515625" style="139" customWidth="1"/>
    <col min="15390" max="15390" width="18.85546875" style="139" customWidth="1"/>
    <col min="15391" max="15616" width="9.140625" style="139"/>
    <col min="15617" max="15617" width="51.28515625" style="139" customWidth="1"/>
    <col min="15618" max="15618" width="18.5703125" style="139" customWidth="1"/>
    <col min="15619" max="15619" width="16.7109375" style="139" customWidth="1"/>
    <col min="15620" max="15620" width="15.85546875" style="139" customWidth="1"/>
    <col min="15621" max="15621" width="17.7109375" style="139" customWidth="1"/>
    <col min="15622" max="15622" width="20.28515625" style="139" customWidth="1"/>
    <col min="15623" max="15623" width="17.7109375" style="139" customWidth="1"/>
    <col min="15624" max="15624" width="18.85546875" style="139" customWidth="1"/>
    <col min="15625" max="15625" width="17" style="139" customWidth="1"/>
    <col min="15626" max="15626" width="16.7109375" style="139" customWidth="1"/>
    <col min="15627" max="15627" width="16" style="139" customWidth="1"/>
    <col min="15628" max="15628" width="15.85546875" style="139" customWidth="1"/>
    <col min="15629" max="15629" width="16.28515625" style="139" customWidth="1"/>
    <col min="15630" max="15630" width="15.85546875" style="139" customWidth="1"/>
    <col min="15631" max="15631" width="16.140625" style="139" customWidth="1"/>
    <col min="15632" max="15632" width="18.28515625" style="139" customWidth="1"/>
    <col min="15633" max="15633" width="15.42578125" style="139" customWidth="1"/>
    <col min="15634" max="15634" width="15" style="139" customWidth="1"/>
    <col min="15635" max="15636" width="15.85546875" style="139" customWidth="1"/>
    <col min="15637" max="15637" width="15.28515625" style="139" customWidth="1"/>
    <col min="15638" max="15638" width="16" style="139" customWidth="1"/>
    <col min="15639" max="15639" width="15.85546875" style="139" customWidth="1"/>
    <col min="15640" max="15640" width="16.140625" style="139" customWidth="1"/>
    <col min="15641" max="15641" width="15.7109375" style="139" customWidth="1"/>
    <col min="15642" max="15642" width="16.5703125" style="139" customWidth="1"/>
    <col min="15643" max="15643" width="15.5703125" style="139" customWidth="1"/>
    <col min="15644" max="15644" width="14.5703125" style="139" customWidth="1"/>
    <col min="15645" max="15645" width="17.28515625" style="139" customWidth="1"/>
    <col min="15646" max="15646" width="18.85546875" style="139" customWidth="1"/>
    <col min="15647" max="15872" width="9.140625" style="139"/>
    <col min="15873" max="15873" width="51.28515625" style="139" customWidth="1"/>
    <col min="15874" max="15874" width="18.5703125" style="139" customWidth="1"/>
    <col min="15875" max="15875" width="16.7109375" style="139" customWidth="1"/>
    <col min="15876" max="15876" width="15.85546875" style="139" customWidth="1"/>
    <col min="15877" max="15877" width="17.7109375" style="139" customWidth="1"/>
    <col min="15878" max="15878" width="20.28515625" style="139" customWidth="1"/>
    <col min="15879" max="15879" width="17.7109375" style="139" customWidth="1"/>
    <col min="15880" max="15880" width="18.85546875" style="139" customWidth="1"/>
    <col min="15881" max="15881" width="17" style="139" customWidth="1"/>
    <col min="15882" max="15882" width="16.7109375" style="139" customWidth="1"/>
    <col min="15883" max="15883" width="16" style="139" customWidth="1"/>
    <col min="15884" max="15884" width="15.85546875" style="139" customWidth="1"/>
    <col min="15885" max="15885" width="16.28515625" style="139" customWidth="1"/>
    <col min="15886" max="15886" width="15.85546875" style="139" customWidth="1"/>
    <col min="15887" max="15887" width="16.140625" style="139" customWidth="1"/>
    <col min="15888" max="15888" width="18.28515625" style="139" customWidth="1"/>
    <col min="15889" max="15889" width="15.42578125" style="139" customWidth="1"/>
    <col min="15890" max="15890" width="15" style="139" customWidth="1"/>
    <col min="15891" max="15892" width="15.85546875" style="139" customWidth="1"/>
    <col min="15893" max="15893" width="15.28515625" style="139" customWidth="1"/>
    <col min="15894" max="15894" width="16" style="139" customWidth="1"/>
    <col min="15895" max="15895" width="15.85546875" style="139" customWidth="1"/>
    <col min="15896" max="15896" width="16.140625" style="139" customWidth="1"/>
    <col min="15897" max="15897" width="15.7109375" style="139" customWidth="1"/>
    <col min="15898" max="15898" width="16.5703125" style="139" customWidth="1"/>
    <col min="15899" max="15899" width="15.5703125" style="139" customWidth="1"/>
    <col min="15900" max="15900" width="14.5703125" style="139" customWidth="1"/>
    <col min="15901" max="15901" width="17.28515625" style="139" customWidth="1"/>
    <col min="15902" max="15902" width="18.85546875" style="139" customWidth="1"/>
    <col min="15903" max="16128" width="9.140625" style="139"/>
    <col min="16129" max="16129" width="51.28515625" style="139" customWidth="1"/>
    <col min="16130" max="16130" width="18.5703125" style="139" customWidth="1"/>
    <col min="16131" max="16131" width="16.7109375" style="139" customWidth="1"/>
    <col min="16132" max="16132" width="15.85546875" style="139" customWidth="1"/>
    <col min="16133" max="16133" width="17.7109375" style="139" customWidth="1"/>
    <col min="16134" max="16134" width="20.28515625" style="139" customWidth="1"/>
    <col min="16135" max="16135" width="17.7109375" style="139" customWidth="1"/>
    <col min="16136" max="16136" width="18.85546875" style="139" customWidth="1"/>
    <col min="16137" max="16137" width="17" style="139" customWidth="1"/>
    <col min="16138" max="16138" width="16.7109375" style="139" customWidth="1"/>
    <col min="16139" max="16139" width="16" style="139" customWidth="1"/>
    <col min="16140" max="16140" width="15.85546875" style="139" customWidth="1"/>
    <col min="16141" max="16141" width="16.28515625" style="139" customWidth="1"/>
    <col min="16142" max="16142" width="15.85546875" style="139" customWidth="1"/>
    <col min="16143" max="16143" width="16.140625" style="139" customWidth="1"/>
    <col min="16144" max="16144" width="18.28515625" style="139" customWidth="1"/>
    <col min="16145" max="16145" width="15.42578125" style="139" customWidth="1"/>
    <col min="16146" max="16146" width="15" style="139" customWidth="1"/>
    <col min="16147" max="16148" width="15.85546875" style="139" customWidth="1"/>
    <col min="16149" max="16149" width="15.28515625" style="139" customWidth="1"/>
    <col min="16150" max="16150" width="16" style="139" customWidth="1"/>
    <col min="16151" max="16151" width="15.85546875" style="139" customWidth="1"/>
    <col min="16152" max="16152" width="16.140625" style="139" customWidth="1"/>
    <col min="16153" max="16153" width="15.7109375" style="139" customWidth="1"/>
    <col min="16154" max="16154" width="16.5703125" style="139" customWidth="1"/>
    <col min="16155" max="16155" width="15.5703125" style="139" customWidth="1"/>
    <col min="16156" max="16156" width="14.5703125" style="139" customWidth="1"/>
    <col min="16157" max="16157" width="17.28515625" style="139" customWidth="1"/>
    <col min="16158" max="16158" width="18.85546875" style="139" customWidth="1"/>
    <col min="16159" max="16384" width="9.140625" style="139"/>
  </cols>
  <sheetData>
    <row r="1" spans="1:44" s="129" customFormat="1" ht="18.75" customHeight="1">
      <c r="A1" s="440" t="str">
        <f>' 1. паспорт местополож'!A1:C1</f>
        <v>Год раскрытия информации: 2019 год</v>
      </c>
      <c r="B1" s="440"/>
      <c r="C1" s="440"/>
      <c r="D1" s="440"/>
      <c r="E1" s="440"/>
      <c r="F1" s="440"/>
      <c r="G1" s="440"/>
      <c r="H1" s="440"/>
      <c r="I1" s="440"/>
      <c r="J1" s="440"/>
      <c r="K1" s="440"/>
      <c r="L1" s="440"/>
      <c r="M1" s="440"/>
      <c r="N1" s="440"/>
      <c r="O1" s="440"/>
      <c r="P1" s="440"/>
      <c r="Q1" s="440"/>
      <c r="R1" s="440"/>
      <c r="S1" s="440"/>
      <c r="T1" s="440"/>
      <c r="U1" s="440"/>
      <c r="V1" s="440"/>
      <c r="W1" s="440"/>
      <c r="X1" s="440"/>
      <c r="Y1" s="440"/>
      <c r="Z1" s="440"/>
      <c r="AA1" s="440"/>
      <c r="AB1" s="440"/>
      <c r="AC1" s="440"/>
      <c r="AD1" s="440"/>
      <c r="AE1" s="335"/>
      <c r="AF1" s="128"/>
      <c r="AG1" s="128"/>
      <c r="AH1" s="128"/>
      <c r="AI1" s="128"/>
      <c r="AJ1" s="128"/>
      <c r="AK1" s="128"/>
      <c r="AL1" s="128"/>
      <c r="AM1" s="128"/>
      <c r="AN1" s="128"/>
      <c r="AO1" s="128"/>
      <c r="AP1" s="128"/>
      <c r="AQ1" s="128"/>
      <c r="AR1" s="128"/>
    </row>
    <row r="2" spans="1:44" s="129" customFormat="1" ht="15.75">
      <c r="A2" s="130"/>
      <c r="I2" s="131"/>
      <c r="J2" s="131"/>
      <c r="K2" s="48"/>
      <c r="AE2" s="336"/>
    </row>
    <row r="3" spans="1:44" s="129" customFormat="1" ht="18.75">
      <c r="A3" s="439" t="s">
        <v>9</v>
      </c>
      <c r="B3" s="439"/>
      <c r="C3" s="439"/>
      <c r="D3" s="439"/>
      <c r="E3" s="439"/>
      <c r="F3" s="439"/>
      <c r="G3" s="439"/>
      <c r="H3" s="439"/>
      <c r="I3" s="439"/>
      <c r="J3" s="439"/>
      <c r="K3" s="439"/>
      <c r="L3" s="439"/>
      <c r="M3" s="439"/>
      <c r="N3" s="439"/>
      <c r="O3" s="439"/>
      <c r="P3" s="439"/>
      <c r="Q3" s="439"/>
      <c r="R3" s="439"/>
      <c r="S3" s="439"/>
      <c r="T3" s="439"/>
      <c r="U3" s="439"/>
      <c r="V3" s="439"/>
      <c r="W3" s="439"/>
      <c r="X3" s="439"/>
      <c r="Y3" s="439"/>
      <c r="Z3" s="439"/>
      <c r="AA3" s="439"/>
      <c r="AB3" s="439"/>
      <c r="AC3" s="439"/>
      <c r="AD3" s="439"/>
      <c r="AE3" s="388"/>
      <c r="AF3" s="388"/>
      <c r="AG3" s="388"/>
      <c r="AH3" s="388"/>
      <c r="AI3" s="388"/>
      <c r="AJ3" s="388"/>
      <c r="AK3" s="388"/>
      <c r="AL3" s="388"/>
      <c r="AM3" s="388"/>
      <c r="AN3" s="388"/>
      <c r="AO3" s="388"/>
      <c r="AP3" s="388"/>
      <c r="AQ3" s="388"/>
      <c r="AR3" s="388"/>
    </row>
    <row r="4" spans="1:44" s="129" customFormat="1" ht="15.75">
      <c r="A4" s="132"/>
      <c r="B4" s="132"/>
      <c r="C4" s="132"/>
      <c r="D4" s="132"/>
      <c r="E4" s="132"/>
      <c r="F4" s="132"/>
      <c r="G4" s="132"/>
      <c r="H4" s="132"/>
      <c r="I4" s="132"/>
      <c r="J4" s="132"/>
      <c r="K4" s="132"/>
      <c r="L4" s="133"/>
      <c r="M4" s="133"/>
      <c r="N4" s="133"/>
      <c r="O4" s="133"/>
      <c r="P4" s="133"/>
      <c r="Q4" s="133"/>
      <c r="R4" s="133"/>
      <c r="S4" s="133"/>
      <c r="T4" s="133"/>
      <c r="U4" s="133"/>
      <c r="V4" s="133"/>
      <c r="W4" s="133"/>
      <c r="X4" s="133"/>
      <c r="Y4" s="133"/>
      <c r="AE4" s="336"/>
    </row>
    <row r="5" spans="1:44" s="129" customFormat="1" ht="18.75" customHeight="1">
      <c r="A5" s="439"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39"/>
      <c r="C5" s="439"/>
      <c r="D5" s="439"/>
      <c r="E5" s="439"/>
      <c r="F5" s="439"/>
      <c r="G5" s="439"/>
      <c r="H5" s="439"/>
      <c r="I5" s="439"/>
      <c r="J5" s="439"/>
      <c r="K5" s="439"/>
      <c r="L5" s="439"/>
      <c r="M5" s="439"/>
      <c r="N5" s="439"/>
      <c r="O5" s="439"/>
      <c r="P5" s="439"/>
      <c r="Q5" s="439"/>
      <c r="R5" s="439"/>
      <c r="S5" s="439"/>
      <c r="T5" s="439"/>
      <c r="U5" s="439"/>
      <c r="V5" s="439"/>
      <c r="W5" s="439"/>
      <c r="X5" s="439"/>
      <c r="Y5" s="439"/>
      <c r="Z5" s="439"/>
      <c r="AA5" s="439"/>
      <c r="AB5" s="439"/>
      <c r="AC5" s="439"/>
      <c r="AD5" s="439"/>
      <c r="AE5" s="388"/>
      <c r="AF5" s="388"/>
      <c r="AG5" s="388"/>
      <c r="AH5" s="388"/>
      <c r="AI5" s="388"/>
      <c r="AJ5" s="388"/>
      <c r="AK5" s="388"/>
      <c r="AL5" s="388"/>
      <c r="AM5" s="388"/>
      <c r="AN5" s="388"/>
      <c r="AO5" s="388"/>
      <c r="AP5" s="388"/>
      <c r="AQ5" s="388"/>
      <c r="AR5" s="388"/>
    </row>
    <row r="6" spans="1:44" s="129" customFormat="1" ht="18.75" customHeight="1">
      <c r="A6" s="437" t="s">
        <v>8</v>
      </c>
      <c r="B6" s="437"/>
      <c r="C6" s="437"/>
      <c r="D6" s="437"/>
      <c r="E6" s="437"/>
      <c r="F6" s="437"/>
      <c r="G6" s="437"/>
      <c r="H6" s="437"/>
      <c r="I6" s="437"/>
      <c r="J6" s="437"/>
      <c r="K6" s="437"/>
      <c r="L6" s="437"/>
      <c r="M6" s="437"/>
      <c r="N6" s="437"/>
      <c r="O6" s="437"/>
      <c r="P6" s="437"/>
      <c r="Q6" s="437"/>
      <c r="R6" s="437"/>
      <c r="S6" s="437"/>
      <c r="T6" s="437"/>
      <c r="U6" s="437"/>
      <c r="V6" s="437"/>
      <c r="W6" s="437"/>
      <c r="X6" s="437"/>
      <c r="Y6" s="437"/>
      <c r="Z6" s="437"/>
      <c r="AA6" s="437"/>
      <c r="AB6" s="437"/>
      <c r="AC6" s="437"/>
      <c r="AD6" s="437"/>
      <c r="AE6" s="438"/>
      <c r="AF6" s="438"/>
      <c r="AG6" s="438"/>
      <c r="AH6" s="438"/>
      <c r="AI6" s="438"/>
      <c r="AJ6" s="438"/>
      <c r="AK6" s="438"/>
      <c r="AL6" s="438"/>
      <c r="AM6" s="438"/>
      <c r="AN6" s="438"/>
      <c r="AO6" s="438"/>
      <c r="AP6" s="438"/>
      <c r="AQ6" s="438"/>
      <c r="AR6" s="438"/>
    </row>
    <row r="7" spans="1:44" s="129" customFormat="1" ht="15.75">
      <c r="A7" s="132"/>
      <c r="B7" s="132"/>
      <c r="C7" s="132"/>
      <c r="D7" s="132"/>
      <c r="E7" s="132"/>
      <c r="F7" s="132"/>
      <c r="G7" s="132"/>
      <c r="H7" s="132"/>
      <c r="I7" s="132"/>
      <c r="J7" s="132"/>
      <c r="K7" s="132"/>
      <c r="L7" s="133"/>
      <c r="M7" s="133"/>
      <c r="N7" s="133"/>
      <c r="O7" s="133"/>
      <c r="P7" s="133"/>
      <c r="Q7" s="133"/>
      <c r="R7" s="133"/>
      <c r="S7" s="133"/>
      <c r="T7" s="133"/>
      <c r="U7" s="133"/>
      <c r="V7" s="133"/>
      <c r="W7" s="133"/>
      <c r="X7" s="133"/>
      <c r="Y7" s="133"/>
      <c r="AE7" s="336"/>
    </row>
    <row r="8" spans="1:44" s="129" customFormat="1" ht="18.75" customHeight="1">
      <c r="A8" s="437" t="str">
        <f>' 1. паспорт местополож'!A8:C8</f>
        <v>J_ДВОСТ-149</v>
      </c>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c r="AB8" s="437"/>
      <c r="AC8" s="437"/>
      <c r="AD8" s="437"/>
      <c r="AE8" s="438"/>
      <c r="AF8" s="438"/>
      <c r="AG8" s="438"/>
      <c r="AH8" s="438"/>
      <c r="AI8" s="438"/>
      <c r="AJ8" s="438"/>
      <c r="AK8" s="438"/>
      <c r="AL8" s="438"/>
      <c r="AM8" s="438"/>
      <c r="AN8" s="438"/>
      <c r="AO8" s="438"/>
      <c r="AP8" s="438"/>
      <c r="AQ8" s="438"/>
      <c r="AR8" s="438"/>
    </row>
    <row r="9" spans="1:44" s="129" customFormat="1" ht="18.75" customHeight="1">
      <c r="A9" s="437" t="s">
        <v>7</v>
      </c>
      <c r="B9" s="437"/>
      <c r="C9" s="437"/>
      <c r="D9" s="437"/>
      <c r="E9" s="437"/>
      <c r="F9" s="437"/>
      <c r="G9" s="437"/>
      <c r="H9" s="437"/>
      <c r="I9" s="437"/>
      <c r="J9" s="437"/>
      <c r="K9" s="437"/>
      <c r="L9" s="437"/>
      <c r="M9" s="437"/>
      <c r="N9" s="437"/>
      <c r="O9" s="437"/>
      <c r="P9" s="437"/>
      <c r="Q9" s="437"/>
      <c r="R9" s="437"/>
      <c r="S9" s="437"/>
      <c r="T9" s="437"/>
      <c r="U9" s="437"/>
      <c r="V9" s="437"/>
      <c r="W9" s="437"/>
      <c r="X9" s="437"/>
      <c r="Y9" s="437"/>
      <c r="Z9" s="437"/>
      <c r="AA9" s="437"/>
      <c r="AB9" s="437"/>
      <c r="AC9" s="437"/>
      <c r="AD9" s="437"/>
      <c r="AE9" s="438"/>
      <c r="AF9" s="438"/>
      <c r="AG9" s="438"/>
      <c r="AH9" s="438"/>
      <c r="AI9" s="438"/>
      <c r="AJ9" s="438"/>
      <c r="AK9" s="438"/>
      <c r="AL9" s="438"/>
      <c r="AM9" s="438"/>
      <c r="AN9" s="438"/>
      <c r="AO9" s="438"/>
      <c r="AP9" s="438"/>
      <c r="AQ9" s="438"/>
      <c r="AR9" s="438"/>
    </row>
    <row r="10" spans="1:44" s="135" customFormat="1" ht="15.75" customHeight="1">
      <c r="A10" s="134"/>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AE10" s="337"/>
    </row>
    <row r="11" spans="1:44" s="136" customFormat="1" ht="18.75">
      <c r="A11" s="439" t="str">
        <f>' 1. паспорт местополож'!A11:C11</f>
        <v xml:space="preserve">Техническое перевооружение объекта "Оборудование кТП-15" ТП-15. </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c r="AD11" s="439"/>
      <c r="AE11" s="438"/>
      <c r="AF11" s="438"/>
      <c r="AG11" s="438"/>
      <c r="AH11" s="438"/>
      <c r="AI11" s="438"/>
      <c r="AJ11" s="438"/>
      <c r="AK11" s="438"/>
      <c r="AL11" s="438"/>
      <c r="AM11" s="438"/>
      <c r="AN11" s="438"/>
      <c r="AO11" s="438"/>
      <c r="AP11" s="438"/>
      <c r="AQ11" s="438"/>
      <c r="AR11" s="438"/>
    </row>
    <row r="12" spans="1:44" s="136" customFormat="1" ht="15" customHeight="1">
      <c r="A12" s="437" t="s">
        <v>5</v>
      </c>
      <c r="B12" s="437"/>
      <c r="C12" s="437"/>
      <c r="D12" s="437"/>
      <c r="E12" s="437"/>
      <c r="F12" s="437"/>
      <c r="G12" s="437"/>
      <c r="H12" s="437"/>
      <c r="I12" s="437"/>
      <c r="J12" s="437"/>
      <c r="K12" s="437"/>
      <c r="L12" s="437"/>
      <c r="M12" s="437"/>
      <c r="N12" s="437"/>
      <c r="O12" s="437"/>
      <c r="P12" s="437"/>
      <c r="Q12" s="437"/>
      <c r="R12" s="437"/>
      <c r="S12" s="437"/>
      <c r="T12" s="437"/>
      <c r="U12" s="437"/>
      <c r="V12" s="437"/>
      <c r="W12" s="437"/>
      <c r="X12" s="437"/>
      <c r="Y12" s="437"/>
      <c r="Z12" s="437"/>
      <c r="AA12" s="437"/>
      <c r="AB12" s="437"/>
      <c r="AC12" s="437"/>
      <c r="AD12" s="437"/>
      <c r="AE12" s="438"/>
      <c r="AF12" s="438"/>
      <c r="AG12" s="438"/>
      <c r="AH12" s="438"/>
      <c r="AI12" s="438"/>
      <c r="AJ12" s="438"/>
      <c r="AK12" s="438"/>
      <c r="AL12" s="438"/>
      <c r="AM12" s="438"/>
      <c r="AN12" s="438"/>
      <c r="AO12" s="438"/>
      <c r="AP12" s="438"/>
      <c r="AQ12" s="438"/>
      <c r="AR12" s="438"/>
    </row>
    <row r="13" spans="1:44" s="136" customFormat="1" ht="15" customHeight="1">
      <c r="A13" s="137"/>
      <c r="B13" s="137"/>
      <c r="C13" s="137"/>
      <c r="D13" s="137"/>
      <c r="E13" s="137"/>
      <c r="F13" s="137"/>
      <c r="G13" s="137"/>
      <c r="H13" s="137"/>
      <c r="I13" s="137"/>
      <c r="J13" s="137"/>
      <c r="K13" s="137"/>
      <c r="L13" s="137"/>
      <c r="M13" s="137"/>
      <c r="N13" s="137"/>
      <c r="O13" s="137"/>
      <c r="P13" s="137"/>
      <c r="Q13" s="137"/>
      <c r="R13" s="137"/>
      <c r="S13" s="137"/>
      <c r="T13" s="137"/>
      <c r="U13" s="137"/>
      <c r="V13" s="137"/>
      <c r="W13" s="138"/>
      <c r="X13" s="138"/>
      <c r="Y13" s="138"/>
      <c r="Z13" s="138"/>
      <c r="AA13" s="138"/>
      <c r="AB13" s="138"/>
      <c r="AC13" s="138"/>
      <c r="AD13" s="138"/>
      <c r="AE13" s="338"/>
      <c r="AF13" s="138"/>
      <c r="AG13" s="138"/>
      <c r="AH13" s="138"/>
      <c r="AI13" s="138"/>
      <c r="AJ13" s="138"/>
      <c r="AK13" s="138"/>
      <c r="AL13" s="138"/>
      <c r="AM13" s="138"/>
      <c r="AN13" s="138"/>
      <c r="AO13" s="138"/>
      <c r="AP13" s="138"/>
      <c r="AQ13" s="138"/>
      <c r="AR13" s="138"/>
    </row>
    <row r="14" spans="1:44" s="136" customFormat="1" ht="15" customHeight="1">
      <c r="A14" s="439" t="s">
        <v>246</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c r="AD14" s="439"/>
      <c r="AE14" s="388"/>
      <c r="AF14" s="388"/>
      <c r="AG14" s="388"/>
      <c r="AH14" s="388"/>
      <c r="AI14" s="388"/>
      <c r="AJ14" s="388"/>
      <c r="AK14" s="388"/>
      <c r="AL14" s="388"/>
      <c r="AM14" s="388"/>
      <c r="AN14" s="388"/>
      <c r="AO14" s="388"/>
      <c r="AP14" s="388"/>
      <c r="AQ14" s="388"/>
      <c r="AR14" s="388"/>
    </row>
    <row r="15" spans="1:44" ht="27.75" customHeight="1">
      <c r="D15" s="140" t="s">
        <v>247</v>
      </c>
    </row>
    <row r="16" spans="1:44" ht="27.75" customHeight="1" thickBot="1">
      <c r="A16" s="141" t="s">
        <v>248</v>
      </c>
      <c r="B16" s="141" t="s">
        <v>249</v>
      </c>
      <c r="D16" s="142"/>
      <c r="E16" s="143"/>
      <c r="F16" s="143"/>
      <c r="G16" s="143"/>
      <c r="H16" s="143"/>
      <c r="J16" s="144"/>
      <c r="K16" s="144"/>
      <c r="L16" s="145"/>
      <c r="M16" s="144"/>
      <c r="N16" s="146"/>
      <c r="P16" s="38"/>
      <c r="AE16" s="339" t="s">
        <v>562</v>
      </c>
      <c r="AG16" s="139" t="s">
        <v>563</v>
      </c>
    </row>
    <row r="17" spans="1:42" ht="23.25">
      <c r="A17" s="147" t="s">
        <v>250</v>
      </c>
      <c r="B17" s="148">
        <v>4728000</v>
      </c>
      <c r="J17" s="436"/>
      <c r="K17" s="436"/>
      <c r="L17" s="436"/>
      <c r="M17" s="436"/>
      <c r="N17" s="436"/>
      <c r="P17" s="149"/>
      <c r="AE17" s="339">
        <f>B17/241*12</f>
        <v>235419.08713692945</v>
      </c>
      <c r="AF17" s="339">
        <f>B17-AE17</f>
        <v>4492580.9128630701</v>
      </c>
      <c r="AG17" s="139">
        <f>(B17+AF17)/2*0.022</f>
        <v>101426.39004149377</v>
      </c>
      <c r="AH17" s="139">
        <v>2020</v>
      </c>
      <c r="AI17" s="339"/>
      <c r="AJ17" s="339"/>
      <c r="AL17" s="139">
        <f>4728*1.18</f>
        <v>5579.04</v>
      </c>
    </row>
    <row r="18" spans="1:42" ht="23.25">
      <c r="A18" s="150" t="s">
        <v>251</v>
      </c>
      <c r="B18" s="151" t="s">
        <v>244</v>
      </c>
      <c r="J18" s="144"/>
      <c r="K18" s="144"/>
      <c r="L18" s="144"/>
      <c r="M18" s="144"/>
      <c r="N18" s="146"/>
      <c r="P18" s="149"/>
      <c r="AF18" s="339">
        <f>AF17-AE17</f>
        <v>4257161.8257261403</v>
      </c>
      <c r="AG18" s="139">
        <f>(AF17+AF18)/2*0.022</f>
        <v>96247.170124481316</v>
      </c>
      <c r="AH18" s="139">
        <v>2021</v>
      </c>
      <c r="AI18" s="339"/>
      <c r="AJ18" s="339"/>
      <c r="AL18" s="139">
        <f>4728*0.18</f>
        <v>851.04</v>
      </c>
    </row>
    <row r="19" spans="1:42" ht="23.25">
      <c r="A19" s="150" t="s">
        <v>252</v>
      </c>
      <c r="B19" s="151">
        <v>20</v>
      </c>
      <c r="D19" s="140" t="s">
        <v>253</v>
      </c>
      <c r="J19" s="436"/>
      <c r="K19" s="436"/>
      <c r="L19" s="436"/>
      <c r="M19" s="144"/>
      <c r="N19" s="146"/>
      <c r="P19" s="149"/>
      <c r="AF19" s="339">
        <f t="shared" ref="AF19:AF31" si="0">AF18-$AE$17</f>
        <v>4021742.7385892109</v>
      </c>
      <c r="AG19" s="139">
        <f>(AF18+AF19)/2*0.022</f>
        <v>91067.95020746885</v>
      </c>
      <c r="AH19" s="139">
        <v>2022</v>
      </c>
      <c r="AI19" s="339"/>
      <c r="AJ19" s="339"/>
      <c r="AL19" s="139">
        <v>234.41900000000001</v>
      </c>
      <c r="AN19" s="339">
        <f>1*722852.47</f>
        <v>722852.47</v>
      </c>
      <c r="AP19" s="139" t="s">
        <v>564</v>
      </c>
    </row>
    <row r="20" spans="1:42" ht="24" thickBot="1">
      <c r="A20" s="152" t="s">
        <v>254</v>
      </c>
      <c r="B20" s="153">
        <v>1</v>
      </c>
      <c r="D20" s="432" t="s">
        <v>255</v>
      </c>
      <c r="E20" s="432"/>
      <c r="F20" s="154">
        <f>H82-2020</f>
        <v>3.0139152526814996</v>
      </c>
      <c r="J20" s="144"/>
      <c r="K20" s="144"/>
      <c r="L20" s="144"/>
      <c r="M20" s="144"/>
      <c r="N20" s="144"/>
      <c r="P20" s="155"/>
      <c r="T20" s="156"/>
      <c r="AF20" s="339">
        <f t="shared" si="0"/>
        <v>3786323.6514522815</v>
      </c>
      <c r="AG20" s="139">
        <f t="shared" ref="AG20:AG35" si="1">(AF19+AF20)/2*0.022</f>
        <v>85888.730290456413</v>
      </c>
      <c r="AH20" s="139">
        <v>2023</v>
      </c>
      <c r="AI20" s="339"/>
      <c r="AJ20" s="339"/>
    </row>
    <row r="21" spans="1:42" ht="23.25">
      <c r="A21" s="147" t="s">
        <v>256</v>
      </c>
      <c r="B21" s="157" t="s">
        <v>244</v>
      </c>
      <c r="D21" s="433" t="s">
        <v>257</v>
      </c>
      <c r="E21" s="434"/>
      <c r="F21" s="154">
        <f>V83-2020</f>
        <v>17.896796849734301</v>
      </c>
      <c r="J21" s="144"/>
      <c r="K21" s="144"/>
      <c r="L21" s="144"/>
      <c r="M21" s="144"/>
      <c r="N21" s="144"/>
      <c r="P21" s="149"/>
      <c r="AF21" s="339">
        <f t="shared" si="0"/>
        <v>3550904.5643153521</v>
      </c>
      <c r="AG21" s="139">
        <f t="shared" si="1"/>
        <v>80709.510373443962</v>
      </c>
      <c r="AH21" s="139">
        <v>2024</v>
      </c>
      <c r="AI21" s="339"/>
      <c r="AJ21" s="339"/>
      <c r="AP21" s="139" t="s">
        <v>565</v>
      </c>
    </row>
    <row r="22" spans="1:42" ht="23.25">
      <c r="A22" s="150" t="s">
        <v>258</v>
      </c>
      <c r="B22" s="151">
        <v>6</v>
      </c>
      <c r="D22" s="432" t="s">
        <v>566</v>
      </c>
      <c r="E22" s="432"/>
      <c r="F22" s="154">
        <f>V80</f>
        <v>22281.639934174658</v>
      </c>
      <c r="G22" s="158">
        <f>AB81</f>
        <v>0</v>
      </c>
      <c r="J22" s="144"/>
      <c r="K22" s="144"/>
      <c r="L22" s="144"/>
      <c r="M22" s="144"/>
      <c r="N22" s="144"/>
      <c r="P22" s="149"/>
      <c r="AF22" s="339">
        <f t="shared" si="0"/>
        <v>3315485.4771784227</v>
      </c>
      <c r="AG22" s="139">
        <f t="shared" si="1"/>
        <v>75530.290456431525</v>
      </c>
      <c r="AH22" s="139">
        <v>2025</v>
      </c>
      <c r="AI22" s="339"/>
      <c r="AJ22" s="339"/>
      <c r="AN22" s="339">
        <v>100237.65000000001</v>
      </c>
      <c r="AO22" s="339">
        <v>31.23</v>
      </c>
      <c r="AP22" s="339">
        <f>AN22/AO22</f>
        <v>3209.6589817483191</v>
      </c>
    </row>
    <row r="23" spans="1:42" ht="102">
      <c r="A23" s="150" t="s">
        <v>259</v>
      </c>
      <c r="B23" s="151">
        <v>1</v>
      </c>
      <c r="D23" s="432" t="s">
        <v>260</v>
      </c>
      <c r="E23" s="432"/>
      <c r="F23" s="356" t="s">
        <v>567</v>
      </c>
      <c r="J23" s="144"/>
      <c r="K23" s="144"/>
      <c r="L23" s="144"/>
      <c r="M23" s="144"/>
      <c r="N23" s="144"/>
      <c r="P23" s="159"/>
      <c r="R23" s="160"/>
      <c r="S23" s="161"/>
      <c r="T23" s="162"/>
      <c r="U23" s="161"/>
      <c r="V23" s="163"/>
      <c r="W23" s="164"/>
      <c r="AF23" s="339">
        <f t="shared" si="0"/>
        <v>3080066.3900414933</v>
      </c>
      <c r="AG23" s="139">
        <f t="shared" si="1"/>
        <v>70351.070539419074</v>
      </c>
      <c r="AH23" s="139">
        <v>2026</v>
      </c>
      <c r="AI23" s="339"/>
      <c r="AJ23" s="339"/>
      <c r="AN23" s="339"/>
      <c r="AO23" s="339"/>
      <c r="AP23" s="339"/>
    </row>
    <row r="24" spans="1:42" ht="27.75" customHeight="1">
      <c r="A24" s="150" t="s">
        <v>261</v>
      </c>
      <c r="B24" s="151" t="s">
        <v>244</v>
      </c>
      <c r="K24" s="165"/>
      <c r="L24" s="165"/>
      <c r="M24" s="165"/>
      <c r="P24" s="159"/>
      <c r="R24" s="160"/>
      <c r="S24" s="161"/>
      <c r="T24" s="162"/>
      <c r="U24" s="161"/>
      <c r="V24" s="163"/>
      <c r="W24" s="164"/>
      <c r="AF24" s="339">
        <f t="shared" si="0"/>
        <v>2844647.302904564</v>
      </c>
      <c r="AG24" s="139">
        <f t="shared" si="1"/>
        <v>65171.85062240663</v>
      </c>
      <c r="AH24" s="139">
        <v>2027</v>
      </c>
      <c r="AI24" s="339"/>
      <c r="AJ24" s="339"/>
      <c r="AN24" s="339"/>
      <c r="AO24" s="339"/>
      <c r="AP24" s="339"/>
    </row>
    <row r="25" spans="1:42" ht="27.75" customHeight="1">
      <c r="A25" s="150" t="s">
        <v>262</v>
      </c>
      <c r="B25" s="151">
        <v>1</v>
      </c>
      <c r="R25" s="160"/>
      <c r="S25" s="161"/>
      <c r="T25" s="161"/>
      <c r="U25" s="161"/>
      <c r="V25" s="163"/>
      <c r="W25" s="164"/>
      <c r="AF25" s="339">
        <f t="shared" si="0"/>
        <v>2609228.2157676346</v>
      </c>
      <c r="AG25" s="139">
        <f t="shared" si="1"/>
        <v>59992.630705394178</v>
      </c>
      <c r="AH25" s="139">
        <v>2028</v>
      </c>
      <c r="AI25" s="339"/>
      <c r="AJ25" s="339"/>
      <c r="AN25" s="339"/>
      <c r="AO25" s="339"/>
      <c r="AP25" s="339"/>
    </row>
    <row r="26" spans="1:42" ht="20.25">
      <c r="A26" s="150" t="s">
        <v>263</v>
      </c>
      <c r="B26" s="151">
        <v>1</v>
      </c>
      <c r="R26" s="160"/>
      <c r="S26" s="161"/>
      <c r="T26" s="161"/>
      <c r="U26" s="161"/>
      <c r="V26" s="163"/>
      <c r="W26" s="164"/>
      <c r="AF26" s="339">
        <f t="shared" si="0"/>
        <v>2373809.1286307052</v>
      </c>
      <c r="AG26" s="139">
        <f t="shared" si="1"/>
        <v>54813.410788381741</v>
      </c>
      <c r="AH26" s="139">
        <v>2029</v>
      </c>
      <c r="AI26" s="339"/>
      <c r="AJ26" s="339"/>
      <c r="AN26" s="339"/>
      <c r="AO26" s="339"/>
      <c r="AP26" s="339"/>
    </row>
    <row r="27" spans="1:42" ht="20.25">
      <c r="A27" s="166" t="s">
        <v>247</v>
      </c>
      <c r="B27" s="167" t="s">
        <v>244</v>
      </c>
      <c r="R27" s="160"/>
      <c r="S27" s="161"/>
      <c r="T27" s="161"/>
      <c r="U27" s="161"/>
      <c r="V27" s="163"/>
      <c r="W27" s="164"/>
      <c r="AF27" s="339">
        <f t="shared" si="0"/>
        <v>2138390.0414937758</v>
      </c>
      <c r="AG27" s="139">
        <f t="shared" si="1"/>
        <v>49634.190871369283</v>
      </c>
      <c r="AH27" s="139">
        <v>2030</v>
      </c>
      <c r="AI27" s="339"/>
      <c r="AJ27" s="339"/>
      <c r="AN27" s="339"/>
      <c r="AO27" s="339"/>
      <c r="AP27" s="339"/>
    </row>
    <row r="28" spans="1:42" ht="21" thickBot="1">
      <c r="A28" s="152" t="s">
        <v>264</v>
      </c>
      <c r="B28" s="168">
        <v>0.2</v>
      </c>
      <c r="R28" s="160"/>
      <c r="S28" s="161"/>
      <c r="T28" s="161"/>
      <c r="U28" s="161"/>
      <c r="V28" s="161"/>
      <c r="W28" s="164"/>
      <c r="AF28" s="339">
        <f t="shared" si="0"/>
        <v>1902970.9543568464</v>
      </c>
      <c r="AG28" s="139">
        <f t="shared" si="1"/>
        <v>44454.970954356839</v>
      </c>
      <c r="AH28" s="139">
        <v>2031</v>
      </c>
      <c r="AI28" s="339"/>
      <c r="AJ28" s="339"/>
      <c r="AN28" s="339"/>
      <c r="AO28" s="339"/>
      <c r="AP28" s="339"/>
    </row>
    <row r="29" spans="1:42" ht="20.25">
      <c r="A29" s="147" t="s">
        <v>247</v>
      </c>
      <c r="B29" s="157" t="s">
        <v>244</v>
      </c>
      <c r="R29" s="160"/>
      <c r="S29" s="161"/>
      <c r="T29" s="161"/>
      <c r="U29" s="161"/>
      <c r="V29" s="161"/>
      <c r="AF29" s="339">
        <f t="shared" si="0"/>
        <v>1667551.867219917</v>
      </c>
      <c r="AG29" s="139">
        <f t="shared" si="1"/>
        <v>39275.751037344395</v>
      </c>
      <c r="AH29" s="139">
        <v>2032</v>
      </c>
      <c r="AI29" s="339"/>
      <c r="AJ29" s="339"/>
      <c r="AN29" s="339"/>
      <c r="AO29" s="339"/>
      <c r="AP29" s="339"/>
    </row>
    <row r="30" spans="1:42" ht="20.25">
      <c r="A30" s="150" t="s">
        <v>265</v>
      </c>
      <c r="B30" s="151">
        <v>0</v>
      </c>
      <c r="R30" s="160"/>
      <c r="S30" s="161"/>
      <c r="T30" s="161"/>
      <c r="U30" s="161"/>
      <c r="V30" s="161"/>
      <c r="AF30" s="339">
        <f t="shared" si="0"/>
        <v>1432132.7800829876</v>
      </c>
      <c r="AG30" s="139">
        <f t="shared" si="1"/>
        <v>34096.531120331951</v>
      </c>
      <c r="AH30" s="139">
        <v>2033</v>
      </c>
      <c r="AI30" s="339"/>
      <c r="AJ30" s="339"/>
      <c r="AN30" s="339"/>
      <c r="AO30" s="339"/>
      <c r="AP30" s="339"/>
    </row>
    <row r="31" spans="1:42" ht="21" thickBot="1">
      <c r="A31" s="166" t="s">
        <v>266</v>
      </c>
      <c r="B31" s="169" t="s">
        <v>244</v>
      </c>
      <c r="S31" s="161"/>
      <c r="T31" s="161"/>
      <c r="U31" s="161"/>
      <c r="V31" s="161"/>
      <c r="AF31" s="339">
        <f t="shared" si="0"/>
        <v>1196713.6929460582</v>
      </c>
      <c r="AG31" s="139">
        <f t="shared" si="1"/>
        <v>28917.311203319503</v>
      </c>
      <c r="AH31" s="139">
        <v>2034</v>
      </c>
      <c r="AI31" s="339"/>
      <c r="AJ31" s="339"/>
      <c r="AN31" s="339"/>
    </row>
    <row r="32" spans="1:42" ht="15.75">
      <c r="A32" s="170" t="s">
        <v>267</v>
      </c>
      <c r="B32" s="171" t="s">
        <v>244</v>
      </c>
      <c r="AF32" s="339">
        <f>AF31-$AE$17</f>
        <v>961294.60580912884</v>
      </c>
      <c r="AG32" s="139">
        <f t="shared" si="1"/>
        <v>23738.091286307055</v>
      </c>
      <c r="AH32" s="139">
        <v>2035</v>
      </c>
      <c r="AI32" s="339"/>
      <c r="AJ32" s="339"/>
    </row>
    <row r="33" spans="1:36" ht="15.75">
      <c r="A33" s="172" t="s">
        <v>268</v>
      </c>
      <c r="B33" s="173" t="s">
        <v>244</v>
      </c>
      <c r="AF33" s="339">
        <f>AF32-$AE$17</f>
        <v>725875.51867219945</v>
      </c>
      <c r="AG33" s="139">
        <f t="shared" si="1"/>
        <v>18558.871369294611</v>
      </c>
      <c r="AH33" s="139">
        <v>2036</v>
      </c>
      <c r="AI33" s="339"/>
      <c r="AJ33" s="339"/>
    </row>
    <row r="34" spans="1:36" ht="15.75">
      <c r="A34" s="172" t="s">
        <v>269</v>
      </c>
      <c r="B34" s="174" t="s">
        <v>244</v>
      </c>
      <c r="AF34" s="339">
        <f t="shared" ref="AF34:AF35" si="2">AF33-$AE$17</f>
        <v>490456.43153527001</v>
      </c>
      <c r="AG34" s="139">
        <f t="shared" si="1"/>
        <v>13379.651452282164</v>
      </c>
      <c r="AH34" s="139">
        <v>2037</v>
      </c>
      <c r="AI34" s="339"/>
      <c r="AJ34" s="339"/>
    </row>
    <row r="35" spans="1:36" ht="15.75">
      <c r="A35" s="172" t="s">
        <v>270</v>
      </c>
      <c r="B35" s="175">
        <v>0</v>
      </c>
      <c r="AF35" s="339">
        <f t="shared" si="2"/>
        <v>255037.34439834056</v>
      </c>
      <c r="AG35" s="139">
        <f t="shared" si="1"/>
        <v>8200.4315352697158</v>
      </c>
      <c r="AH35" s="139">
        <v>2038</v>
      </c>
      <c r="AI35" s="339"/>
      <c r="AJ35" s="339"/>
    </row>
    <row r="36" spans="1:36" ht="31.5">
      <c r="A36" s="172" t="s">
        <v>271</v>
      </c>
      <c r="B36" s="175">
        <v>0.1</v>
      </c>
    </row>
    <row r="37" spans="1:36" ht="15.75">
      <c r="A37" s="172" t="s">
        <v>272</v>
      </c>
      <c r="B37" s="174">
        <v>1</v>
      </c>
    </row>
    <row r="38" spans="1:36" ht="16.5" thickBot="1">
      <c r="A38" s="176" t="s">
        <v>273</v>
      </c>
      <c r="B38" s="345"/>
    </row>
    <row r="39" spans="1:36" ht="15.75">
      <c r="A39" s="177" t="s">
        <v>274</v>
      </c>
      <c r="B39" s="178">
        <v>2018</v>
      </c>
      <c r="C39" s="178">
        <v>2019</v>
      </c>
      <c r="D39" s="178">
        <v>2020</v>
      </c>
      <c r="E39" s="178">
        <v>2021</v>
      </c>
      <c r="F39" s="178">
        <v>2022</v>
      </c>
      <c r="G39" s="178">
        <v>2023</v>
      </c>
      <c r="H39" s="178">
        <v>2024</v>
      </c>
      <c r="I39" s="178">
        <v>2025</v>
      </c>
      <c r="J39" s="178">
        <v>2026</v>
      </c>
      <c r="K39" s="178">
        <v>2027</v>
      </c>
      <c r="L39" s="178">
        <v>2028</v>
      </c>
      <c r="M39" s="178">
        <f t="shared" ref="M39:AD39" si="3">L39+1</f>
        <v>2029</v>
      </c>
      <c r="N39" s="178">
        <f t="shared" si="3"/>
        <v>2030</v>
      </c>
      <c r="O39" s="178">
        <f t="shared" si="3"/>
        <v>2031</v>
      </c>
      <c r="P39" s="178">
        <f t="shared" si="3"/>
        <v>2032</v>
      </c>
      <c r="Q39" s="178">
        <f t="shared" si="3"/>
        <v>2033</v>
      </c>
      <c r="R39" s="178">
        <f t="shared" si="3"/>
        <v>2034</v>
      </c>
      <c r="S39" s="178">
        <f t="shared" si="3"/>
        <v>2035</v>
      </c>
      <c r="T39" s="178">
        <f t="shared" si="3"/>
        <v>2036</v>
      </c>
      <c r="U39" s="178">
        <f t="shared" si="3"/>
        <v>2037</v>
      </c>
      <c r="V39" s="178">
        <f t="shared" si="3"/>
        <v>2038</v>
      </c>
      <c r="W39" s="178">
        <f t="shared" si="3"/>
        <v>2039</v>
      </c>
      <c r="X39" s="178">
        <f t="shared" si="3"/>
        <v>2040</v>
      </c>
      <c r="Y39" s="178">
        <f t="shared" si="3"/>
        <v>2041</v>
      </c>
      <c r="Z39" s="178">
        <f t="shared" si="3"/>
        <v>2042</v>
      </c>
      <c r="AA39" s="178">
        <f t="shared" si="3"/>
        <v>2043</v>
      </c>
      <c r="AB39" s="178">
        <f t="shared" si="3"/>
        <v>2044</v>
      </c>
      <c r="AC39" s="178">
        <f t="shared" si="3"/>
        <v>2045</v>
      </c>
      <c r="AD39" s="178">
        <f t="shared" si="3"/>
        <v>2046</v>
      </c>
    </row>
    <row r="40" spans="1:36" customFormat="1" ht="27.75" customHeight="1" outlineLevel="1">
      <c r="A40" s="179" t="s">
        <v>275</v>
      </c>
      <c r="B40" s="180">
        <v>1.0609999999999999</v>
      </c>
      <c r="C40" s="180">
        <v>1.054</v>
      </c>
      <c r="D40" s="180">
        <v>1.0369999999999999</v>
      </c>
      <c r="E40" s="180">
        <v>1.038</v>
      </c>
      <c r="F40" s="180">
        <v>1.038</v>
      </c>
      <c r="G40" s="180">
        <v>1.038</v>
      </c>
      <c r="H40" s="180">
        <v>1.038</v>
      </c>
      <c r="I40" s="180">
        <v>1.038</v>
      </c>
      <c r="J40" s="180">
        <v>1.018</v>
      </c>
      <c r="K40" s="180">
        <v>1.018</v>
      </c>
      <c r="L40" s="180">
        <v>1.018</v>
      </c>
      <c r="M40" s="181">
        <f t="shared" ref="M40:V40" si="4">L40</f>
        <v>1.018</v>
      </c>
      <c r="N40" s="181">
        <f t="shared" si="4"/>
        <v>1.018</v>
      </c>
      <c r="O40" s="181">
        <f t="shared" si="4"/>
        <v>1.018</v>
      </c>
      <c r="P40" s="181">
        <f t="shared" si="4"/>
        <v>1.018</v>
      </c>
      <c r="Q40" s="181">
        <f t="shared" si="4"/>
        <v>1.018</v>
      </c>
      <c r="R40" s="181">
        <f t="shared" si="4"/>
        <v>1.018</v>
      </c>
      <c r="S40" s="181">
        <f t="shared" si="4"/>
        <v>1.018</v>
      </c>
      <c r="T40" s="181">
        <f t="shared" si="4"/>
        <v>1.018</v>
      </c>
      <c r="U40" s="181">
        <f t="shared" si="4"/>
        <v>1.018</v>
      </c>
      <c r="V40" s="181">
        <f t="shared" si="4"/>
        <v>1.018</v>
      </c>
      <c r="W40" s="181">
        <f t="shared" ref="W40:AD40" si="5">V40</f>
        <v>1.018</v>
      </c>
      <c r="X40" s="181">
        <f t="shared" si="5"/>
        <v>1.018</v>
      </c>
      <c r="Y40" s="181">
        <f t="shared" si="5"/>
        <v>1.018</v>
      </c>
      <c r="Z40" s="181">
        <f t="shared" si="5"/>
        <v>1.018</v>
      </c>
      <c r="AA40" s="181">
        <f t="shared" si="5"/>
        <v>1.018</v>
      </c>
      <c r="AB40" s="181">
        <f t="shared" si="5"/>
        <v>1.018</v>
      </c>
      <c r="AC40" s="181">
        <f t="shared" si="5"/>
        <v>1.018</v>
      </c>
      <c r="AD40" s="181">
        <f t="shared" si="5"/>
        <v>1.018</v>
      </c>
      <c r="AE40" s="340"/>
      <c r="AH40" s="139"/>
    </row>
    <row r="41" spans="1:36" ht="27.75" customHeight="1" outlineLevel="1">
      <c r="A41" s="179" t="s">
        <v>276</v>
      </c>
      <c r="B41" s="182">
        <f>(106.5/100*106.8/100*106.3/100)</f>
        <v>1.2090774599999998</v>
      </c>
      <c r="C41" s="182">
        <f>106.8/100*106.3/100*106.1/100</f>
        <v>1.204536324</v>
      </c>
      <c r="D41" s="182">
        <f>106.3/100*106.1/100*105.4/100</f>
        <v>1.188746522</v>
      </c>
      <c r="E41" s="182">
        <f>106.1/100*105.4/100*103.7/100</f>
        <v>1.1596708780000002</v>
      </c>
      <c r="F41" s="182">
        <f>105.4/100*103.7/100*103.8/100</f>
        <v>1.134531924</v>
      </c>
      <c r="G41" s="182">
        <f>103.7/100*103.8/100*103.8/100</f>
        <v>1.117309428</v>
      </c>
      <c r="H41" s="182">
        <f>103.8/100*103.8/100*103.8/100</f>
        <v>1.1183868720000001</v>
      </c>
      <c r="I41" s="182">
        <f>103.8/100*103.8/100*103.8/100</f>
        <v>1.1183868720000001</v>
      </c>
      <c r="J41" s="182">
        <f>103.8/100*103.8/100*103.8/100</f>
        <v>1.1183868720000001</v>
      </c>
      <c r="K41" s="182">
        <f>103.8/100*103.8/100*101.8/100</f>
        <v>1.0968379920000002</v>
      </c>
      <c r="L41" s="182">
        <f>103.8/100*101.8/100*101.8/100</f>
        <v>1.0757043119999998</v>
      </c>
      <c r="M41" s="182">
        <f t="shared" ref="M41:V41" si="6">103.8/100*101.8/100*101.8/100</f>
        <v>1.0757043119999998</v>
      </c>
      <c r="N41" s="182">
        <f t="shared" si="6"/>
        <v>1.0757043119999998</v>
      </c>
      <c r="O41" s="182">
        <f t="shared" si="6"/>
        <v>1.0757043119999998</v>
      </c>
      <c r="P41" s="182">
        <f t="shared" si="6"/>
        <v>1.0757043119999998</v>
      </c>
      <c r="Q41" s="182">
        <f t="shared" si="6"/>
        <v>1.0757043119999998</v>
      </c>
      <c r="R41" s="182">
        <f t="shared" si="6"/>
        <v>1.0757043119999998</v>
      </c>
      <c r="S41" s="182">
        <f t="shared" si="6"/>
        <v>1.0757043119999998</v>
      </c>
      <c r="T41" s="182">
        <f t="shared" si="6"/>
        <v>1.0757043119999998</v>
      </c>
      <c r="U41" s="182">
        <f t="shared" si="6"/>
        <v>1.0757043119999998</v>
      </c>
      <c r="V41" s="182">
        <f t="shared" si="6"/>
        <v>1.0757043119999998</v>
      </c>
      <c r="W41" s="183">
        <f t="shared" ref="W41:AD41" si="7">(1+V41)*(1+W40)-1</f>
        <v>3.1887713016159998</v>
      </c>
      <c r="X41" s="183">
        <f t="shared" si="7"/>
        <v>7.4529404866610864</v>
      </c>
      <c r="Y41" s="183">
        <f t="shared" si="7"/>
        <v>16.058033902082069</v>
      </c>
      <c r="Z41" s="183">
        <f t="shared" si="7"/>
        <v>33.423112414401615</v>
      </c>
      <c r="AA41" s="183">
        <f t="shared" si="7"/>
        <v>68.465840852262446</v>
      </c>
      <c r="AB41" s="183">
        <f t="shared" si="7"/>
        <v>139.1820668398656</v>
      </c>
      <c r="AC41" s="183">
        <f t="shared" si="7"/>
        <v>281.88741088284877</v>
      </c>
      <c r="AD41" s="183">
        <f t="shared" si="7"/>
        <v>569.86679516158881</v>
      </c>
    </row>
    <row r="42" spans="1:36" s="140" customFormat="1" ht="27.75" customHeight="1" thickBot="1">
      <c r="A42" s="184" t="s">
        <v>277</v>
      </c>
      <c r="B42" s="192">
        <f>AN19</f>
        <v>722852.47</v>
      </c>
      <c r="C42" s="192">
        <f>B42*C40</f>
        <v>761886.50338000001</v>
      </c>
      <c r="D42" s="192">
        <f t="shared" ref="D42:K42" si="8">C42*D40</f>
        <v>790076.30400506</v>
      </c>
      <c r="E42" s="192">
        <f t="shared" si="8"/>
        <v>820099.2035572523</v>
      </c>
      <c r="F42" s="192">
        <f t="shared" si="8"/>
        <v>851262.97329242795</v>
      </c>
      <c r="G42" s="192">
        <f t="shared" si="8"/>
        <v>883610.9662775402</v>
      </c>
      <c r="H42" s="192">
        <f t="shared" si="8"/>
        <v>917188.18299608678</v>
      </c>
      <c r="I42" s="192">
        <f t="shared" si="8"/>
        <v>952041.33394993807</v>
      </c>
      <c r="J42" s="192">
        <f t="shared" si="8"/>
        <v>969178.07796103694</v>
      </c>
      <c r="K42" s="192">
        <f t="shared" si="8"/>
        <v>986623.28336433566</v>
      </c>
      <c r="L42" s="192">
        <f>K42*L40</f>
        <v>1004382.5024648937</v>
      </c>
      <c r="M42" s="192">
        <f t="shared" ref="M42:V42" si="9">L42*M40</f>
        <v>1022461.3875092618</v>
      </c>
      <c r="N42" s="192">
        <f t="shared" si="9"/>
        <v>1040865.6924844285</v>
      </c>
      <c r="O42" s="192">
        <f t="shared" si="9"/>
        <v>1059601.2749491483</v>
      </c>
      <c r="P42" s="192">
        <f t="shared" si="9"/>
        <v>1078674.097898233</v>
      </c>
      <c r="Q42" s="192">
        <f t="shared" si="9"/>
        <v>1098090.2316604012</v>
      </c>
      <c r="R42" s="192">
        <f t="shared" si="9"/>
        <v>1117855.8558302885</v>
      </c>
      <c r="S42" s="192">
        <f t="shared" si="9"/>
        <v>1137977.2612352336</v>
      </c>
      <c r="T42" s="192">
        <f t="shared" si="9"/>
        <v>1158460.8519374679</v>
      </c>
      <c r="U42" s="192">
        <f t="shared" si="9"/>
        <v>1179313.1472723424</v>
      </c>
      <c r="V42" s="192">
        <f t="shared" si="9"/>
        <v>1200540.7839232446</v>
      </c>
      <c r="W42" s="185">
        <f t="shared" ref="W42:AD42" si="10">V42*V40+V42</f>
        <v>2422691.3019571076</v>
      </c>
      <c r="X42" s="185">
        <f t="shared" si="10"/>
        <v>4888991.0473494437</v>
      </c>
      <c r="Y42" s="185">
        <f t="shared" si="10"/>
        <v>9865983.9335511774</v>
      </c>
      <c r="Z42" s="185">
        <f t="shared" si="10"/>
        <v>19909555.577906277</v>
      </c>
      <c r="AA42" s="185">
        <f t="shared" si="10"/>
        <v>40177483.156214863</v>
      </c>
      <c r="AB42" s="185">
        <f t="shared" si="10"/>
        <v>81078161.009241596</v>
      </c>
      <c r="AC42" s="185">
        <f t="shared" si="10"/>
        <v>163615728.91664952</v>
      </c>
      <c r="AD42" s="185">
        <f t="shared" si="10"/>
        <v>330176540.95379877</v>
      </c>
      <c r="AE42" s="341"/>
      <c r="AH42" s="139"/>
    </row>
    <row r="43" spans="1:36" ht="27.75" customHeight="1" thickBot="1">
      <c r="A43" s="186"/>
    </row>
    <row r="44" spans="1:36" ht="27.75" customHeight="1">
      <c r="A44" s="187" t="s">
        <v>278</v>
      </c>
      <c r="B44" s="178">
        <f t="shared" ref="B44:AD44" si="11">B39</f>
        <v>2018</v>
      </c>
      <c r="C44" s="178">
        <f t="shared" si="11"/>
        <v>2019</v>
      </c>
      <c r="D44" s="178">
        <f t="shared" si="11"/>
        <v>2020</v>
      </c>
      <c r="E44" s="178">
        <f t="shared" si="11"/>
        <v>2021</v>
      </c>
      <c r="F44" s="178">
        <f t="shared" si="11"/>
        <v>2022</v>
      </c>
      <c r="G44" s="178">
        <f t="shared" si="11"/>
        <v>2023</v>
      </c>
      <c r="H44" s="178">
        <f t="shared" si="11"/>
        <v>2024</v>
      </c>
      <c r="I44" s="178">
        <f t="shared" si="11"/>
        <v>2025</v>
      </c>
      <c r="J44" s="178">
        <f t="shared" si="11"/>
        <v>2026</v>
      </c>
      <c r="K44" s="178">
        <f t="shared" si="11"/>
        <v>2027</v>
      </c>
      <c r="L44" s="178">
        <f t="shared" si="11"/>
        <v>2028</v>
      </c>
      <c r="M44" s="178">
        <f t="shared" si="11"/>
        <v>2029</v>
      </c>
      <c r="N44" s="178">
        <f t="shared" si="11"/>
        <v>2030</v>
      </c>
      <c r="O44" s="178">
        <f t="shared" si="11"/>
        <v>2031</v>
      </c>
      <c r="P44" s="178">
        <f t="shared" si="11"/>
        <v>2032</v>
      </c>
      <c r="Q44" s="178">
        <f t="shared" si="11"/>
        <v>2033</v>
      </c>
      <c r="R44" s="178">
        <f t="shared" si="11"/>
        <v>2034</v>
      </c>
      <c r="S44" s="178">
        <f t="shared" si="11"/>
        <v>2035</v>
      </c>
      <c r="T44" s="178">
        <f t="shared" si="11"/>
        <v>2036</v>
      </c>
      <c r="U44" s="178">
        <f t="shared" si="11"/>
        <v>2037</v>
      </c>
      <c r="V44" s="178">
        <f t="shared" si="11"/>
        <v>2038</v>
      </c>
      <c r="W44" s="178">
        <f t="shared" si="11"/>
        <v>2039</v>
      </c>
      <c r="X44" s="178">
        <f t="shared" si="11"/>
        <v>2040</v>
      </c>
      <c r="Y44" s="178">
        <f t="shared" si="11"/>
        <v>2041</v>
      </c>
      <c r="Z44" s="178">
        <f t="shared" si="11"/>
        <v>2042</v>
      </c>
      <c r="AA44" s="178">
        <f t="shared" si="11"/>
        <v>2043</v>
      </c>
      <c r="AB44" s="178">
        <f t="shared" si="11"/>
        <v>2044</v>
      </c>
      <c r="AC44" s="178">
        <f t="shared" si="11"/>
        <v>2045</v>
      </c>
      <c r="AD44" s="178">
        <f t="shared" si="11"/>
        <v>2046</v>
      </c>
    </row>
    <row r="45" spans="1:36" ht="27.75" customHeight="1">
      <c r="A45" s="179" t="s">
        <v>279</v>
      </c>
      <c r="B45" s="188">
        <v>0</v>
      </c>
      <c r="C45" s="188">
        <v>0</v>
      </c>
      <c r="D45" s="188">
        <v>0</v>
      </c>
      <c r="E45" s="188">
        <v>0</v>
      </c>
      <c r="F45" s="188">
        <v>0</v>
      </c>
      <c r="G45" s="188">
        <v>0</v>
      </c>
      <c r="H45" s="188">
        <v>0</v>
      </c>
      <c r="I45" s="188">
        <v>0</v>
      </c>
      <c r="J45" s="188">
        <v>0</v>
      </c>
      <c r="K45" s="188">
        <v>0</v>
      </c>
      <c r="L45" s="188">
        <v>0</v>
      </c>
      <c r="M45" s="189">
        <v>0</v>
      </c>
      <c r="N45" s="189">
        <v>0</v>
      </c>
      <c r="O45" s="189">
        <v>0</v>
      </c>
      <c r="P45" s="189">
        <v>0</v>
      </c>
      <c r="Q45" s="189">
        <v>0</v>
      </c>
      <c r="R45" s="189">
        <v>0</v>
      </c>
      <c r="S45" s="189">
        <v>0</v>
      </c>
      <c r="T45" s="189">
        <v>0</v>
      </c>
      <c r="U45" s="189">
        <v>0</v>
      </c>
      <c r="V45" s="189">
        <v>0</v>
      </c>
      <c r="W45" s="189">
        <f t="shared" ref="W45:AD45" si="12">V45+V46-V47</f>
        <v>0</v>
      </c>
      <c r="X45" s="189">
        <f t="shared" si="12"/>
        <v>0</v>
      </c>
      <c r="Y45" s="189">
        <f t="shared" si="12"/>
        <v>0</v>
      </c>
      <c r="Z45" s="189">
        <f t="shared" si="12"/>
        <v>0</v>
      </c>
      <c r="AA45" s="189">
        <f t="shared" si="12"/>
        <v>0</v>
      </c>
      <c r="AB45" s="189">
        <f t="shared" si="12"/>
        <v>0</v>
      </c>
      <c r="AC45" s="189">
        <f t="shared" si="12"/>
        <v>0</v>
      </c>
      <c r="AD45" s="189">
        <f t="shared" si="12"/>
        <v>0</v>
      </c>
    </row>
    <row r="46" spans="1:36" ht="27.75" customHeight="1">
      <c r="A46" s="179" t="s">
        <v>280</v>
      </c>
      <c r="B46" s="188">
        <v>0</v>
      </c>
      <c r="C46" s="188">
        <v>0</v>
      </c>
      <c r="D46" s="188">
        <v>0</v>
      </c>
      <c r="E46" s="188">
        <v>0</v>
      </c>
      <c r="F46" s="188">
        <v>0</v>
      </c>
      <c r="G46" s="188">
        <v>0</v>
      </c>
      <c r="H46" s="188">
        <v>0</v>
      </c>
      <c r="I46" s="188">
        <v>0</v>
      </c>
      <c r="J46" s="188">
        <v>0</v>
      </c>
      <c r="K46" s="190">
        <v>0</v>
      </c>
      <c r="L46" s="190">
        <v>0</v>
      </c>
      <c r="M46" s="191">
        <v>0</v>
      </c>
      <c r="N46" s="191">
        <v>0</v>
      </c>
      <c r="O46" s="191">
        <v>0</v>
      </c>
      <c r="P46" s="191">
        <v>0</v>
      </c>
      <c r="Q46" s="191">
        <v>0</v>
      </c>
      <c r="R46" s="191">
        <v>0</v>
      </c>
      <c r="S46" s="191">
        <v>0</v>
      </c>
      <c r="T46" s="191">
        <v>0</v>
      </c>
      <c r="U46" s="191">
        <v>0</v>
      </c>
      <c r="V46" s="191">
        <v>0</v>
      </c>
      <c r="W46" s="191"/>
      <c r="X46" s="191"/>
      <c r="Y46" s="191"/>
      <c r="Z46" s="191"/>
      <c r="AA46" s="191"/>
      <c r="AB46" s="191"/>
      <c r="AC46" s="191"/>
      <c r="AD46" s="191"/>
    </row>
    <row r="47" spans="1:36" ht="27.75" customHeight="1">
      <c r="A47" s="179" t="s">
        <v>281</v>
      </c>
      <c r="B47" s="188">
        <v>0</v>
      </c>
      <c r="C47" s="188">
        <v>0</v>
      </c>
      <c r="D47" s="188">
        <v>0</v>
      </c>
      <c r="E47" s="188">
        <v>0</v>
      </c>
      <c r="F47" s="188">
        <v>0</v>
      </c>
      <c r="G47" s="188">
        <v>0</v>
      </c>
      <c r="H47" s="188">
        <v>0</v>
      </c>
      <c r="I47" s="188">
        <v>0</v>
      </c>
      <c r="J47" s="188">
        <v>0</v>
      </c>
      <c r="K47" s="188">
        <v>0</v>
      </c>
      <c r="L47" s="188">
        <v>0</v>
      </c>
      <c r="M47" s="189">
        <v>0</v>
      </c>
      <c r="N47" s="189">
        <v>0</v>
      </c>
      <c r="O47" s="189">
        <v>0</v>
      </c>
      <c r="P47" s="189">
        <v>0</v>
      </c>
      <c r="Q47" s="189">
        <v>0</v>
      </c>
      <c r="R47" s="189">
        <v>0</v>
      </c>
      <c r="S47" s="189">
        <v>0</v>
      </c>
      <c r="T47" s="189">
        <v>0</v>
      </c>
      <c r="U47" s="189">
        <v>0</v>
      </c>
      <c r="V47" s="189">
        <v>0</v>
      </c>
      <c r="W47" s="189">
        <f t="shared" ref="W47:AD47" si="13">IF(ROUND(W45,1)=0,0,V47+W46/$B$32)</f>
        <v>0</v>
      </c>
      <c r="X47" s="189">
        <f t="shared" si="13"/>
        <v>0</v>
      </c>
      <c r="Y47" s="189">
        <f t="shared" si="13"/>
        <v>0</v>
      </c>
      <c r="Z47" s="189">
        <f t="shared" si="13"/>
        <v>0</v>
      </c>
      <c r="AA47" s="189">
        <f t="shared" si="13"/>
        <v>0</v>
      </c>
      <c r="AB47" s="189">
        <f t="shared" si="13"/>
        <v>0</v>
      </c>
      <c r="AC47" s="189">
        <f t="shared" si="13"/>
        <v>0</v>
      </c>
      <c r="AD47" s="189">
        <f t="shared" si="13"/>
        <v>0</v>
      </c>
    </row>
    <row r="48" spans="1:36" ht="27.75" customHeight="1" thickBot="1">
      <c r="A48" s="184" t="s">
        <v>282</v>
      </c>
      <c r="B48" s="192">
        <v>0</v>
      </c>
      <c r="C48" s="192">
        <v>0</v>
      </c>
      <c r="D48" s="192">
        <v>0</v>
      </c>
      <c r="E48" s="192">
        <v>0</v>
      </c>
      <c r="F48" s="192">
        <v>0</v>
      </c>
      <c r="G48" s="192">
        <v>0</v>
      </c>
      <c r="H48" s="192">
        <v>0</v>
      </c>
      <c r="I48" s="192">
        <v>0</v>
      </c>
      <c r="J48" s="192">
        <v>0</v>
      </c>
      <c r="K48" s="192">
        <v>0</v>
      </c>
      <c r="L48" s="192">
        <v>0</v>
      </c>
      <c r="M48" s="193">
        <v>0</v>
      </c>
      <c r="N48" s="193">
        <v>0</v>
      </c>
      <c r="O48" s="193">
        <v>0</v>
      </c>
      <c r="P48" s="193">
        <v>0</v>
      </c>
      <c r="Q48" s="193">
        <v>0</v>
      </c>
      <c r="R48" s="193">
        <v>0</v>
      </c>
      <c r="S48" s="193">
        <v>0</v>
      </c>
      <c r="T48" s="193">
        <v>0</v>
      </c>
      <c r="U48" s="193">
        <v>0</v>
      </c>
      <c r="V48" s="193">
        <v>0</v>
      </c>
      <c r="W48" s="193" t="e">
        <f t="shared" ref="W48:AD48" si="14">AVERAGE(SUM(W45:W46),(SUM(W45:W46)-W47))*$B$34</f>
        <v>#VALUE!</v>
      </c>
      <c r="X48" s="193" t="e">
        <f t="shared" si="14"/>
        <v>#VALUE!</v>
      </c>
      <c r="Y48" s="193" t="e">
        <f t="shared" si="14"/>
        <v>#VALUE!</v>
      </c>
      <c r="Z48" s="193" t="e">
        <f t="shared" si="14"/>
        <v>#VALUE!</v>
      </c>
      <c r="AA48" s="193" t="e">
        <f t="shared" si="14"/>
        <v>#VALUE!</v>
      </c>
      <c r="AB48" s="193" t="e">
        <f t="shared" si="14"/>
        <v>#VALUE!</v>
      </c>
      <c r="AC48" s="193" t="e">
        <f t="shared" si="14"/>
        <v>#VALUE!</v>
      </c>
      <c r="AD48" s="193" t="e">
        <f t="shared" si="14"/>
        <v>#VALUE!</v>
      </c>
    </row>
    <row r="49" spans="1:31" ht="27.75" customHeight="1" thickBot="1">
      <c r="A49" s="194"/>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c r="AC49" s="195"/>
      <c r="AD49" s="195"/>
    </row>
    <row r="50" spans="1:31" s="165" customFormat="1" ht="27.75" customHeight="1">
      <c r="A50" s="187" t="s">
        <v>283</v>
      </c>
      <c r="B50" s="178">
        <f t="shared" ref="B50:AD50" si="15">B44</f>
        <v>2018</v>
      </c>
      <c r="C50" s="178">
        <f t="shared" si="15"/>
        <v>2019</v>
      </c>
      <c r="D50" s="178">
        <f t="shared" si="15"/>
        <v>2020</v>
      </c>
      <c r="E50" s="178">
        <f t="shared" si="15"/>
        <v>2021</v>
      </c>
      <c r="F50" s="178">
        <f t="shared" si="15"/>
        <v>2022</v>
      </c>
      <c r="G50" s="178">
        <f t="shared" si="15"/>
        <v>2023</v>
      </c>
      <c r="H50" s="178">
        <f t="shared" si="15"/>
        <v>2024</v>
      </c>
      <c r="I50" s="178">
        <f t="shared" si="15"/>
        <v>2025</v>
      </c>
      <c r="J50" s="178">
        <f t="shared" si="15"/>
        <v>2026</v>
      </c>
      <c r="K50" s="178">
        <f t="shared" si="15"/>
        <v>2027</v>
      </c>
      <c r="L50" s="178">
        <f t="shared" si="15"/>
        <v>2028</v>
      </c>
      <c r="M50" s="178">
        <f t="shared" si="15"/>
        <v>2029</v>
      </c>
      <c r="N50" s="178">
        <f t="shared" si="15"/>
        <v>2030</v>
      </c>
      <c r="O50" s="178">
        <f t="shared" si="15"/>
        <v>2031</v>
      </c>
      <c r="P50" s="178">
        <f t="shared" si="15"/>
        <v>2032</v>
      </c>
      <c r="Q50" s="178">
        <f t="shared" si="15"/>
        <v>2033</v>
      </c>
      <c r="R50" s="178">
        <f t="shared" si="15"/>
        <v>2034</v>
      </c>
      <c r="S50" s="178">
        <f t="shared" si="15"/>
        <v>2035</v>
      </c>
      <c r="T50" s="178">
        <f t="shared" si="15"/>
        <v>2036</v>
      </c>
      <c r="U50" s="178">
        <f t="shared" si="15"/>
        <v>2037</v>
      </c>
      <c r="V50" s="178">
        <f t="shared" si="15"/>
        <v>2038</v>
      </c>
      <c r="W50" s="178">
        <f t="shared" si="15"/>
        <v>2039</v>
      </c>
      <c r="X50" s="178">
        <f t="shared" si="15"/>
        <v>2040</v>
      </c>
      <c r="Y50" s="178">
        <f t="shared" si="15"/>
        <v>2041</v>
      </c>
      <c r="Z50" s="178">
        <f t="shared" si="15"/>
        <v>2042</v>
      </c>
      <c r="AA50" s="178">
        <f t="shared" si="15"/>
        <v>2043</v>
      </c>
      <c r="AB50" s="178">
        <f t="shared" si="15"/>
        <v>2044</v>
      </c>
      <c r="AC50" s="178">
        <f t="shared" si="15"/>
        <v>2045</v>
      </c>
      <c r="AD50" s="178">
        <f t="shared" si="15"/>
        <v>2046</v>
      </c>
      <c r="AE50" s="342"/>
    </row>
    <row r="51" spans="1:31" s="140" customFormat="1" ht="27.75" customHeight="1">
      <c r="A51" s="196" t="s">
        <v>284</v>
      </c>
      <c r="B51" s="346">
        <f>AN19</f>
        <v>722852.47</v>
      </c>
      <c r="C51" s="346">
        <f>B51*C40</f>
        <v>761886.50338000001</v>
      </c>
      <c r="D51" s="346">
        <f>C51*D40</f>
        <v>790076.30400506</v>
      </c>
      <c r="E51" s="346">
        <f t="shared" ref="E51:V51" si="16">D51*E40</f>
        <v>820099.2035572523</v>
      </c>
      <c r="F51" s="346">
        <f t="shared" si="16"/>
        <v>851262.97329242795</v>
      </c>
      <c r="G51" s="346">
        <f t="shared" si="16"/>
        <v>883610.9662775402</v>
      </c>
      <c r="H51" s="346">
        <f t="shared" si="16"/>
        <v>917188.18299608678</v>
      </c>
      <c r="I51" s="346">
        <f t="shared" si="16"/>
        <v>952041.33394993807</v>
      </c>
      <c r="J51" s="346">
        <f t="shared" si="16"/>
        <v>969178.07796103694</v>
      </c>
      <c r="K51" s="346">
        <f t="shared" si="16"/>
        <v>986623.28336433566</v>
      </c>
      <c r="L51" s="346">
        <f t="shared" si="16"/>
        <v>1004382.5024648937</v>
      </c>
      <c r="M51" s="346">
        <f t="shared" si="16"/>
        <v>1022461.3875092618</v>
      </c>
      <c r="N51" s="346">
        <f t="shared" si="16"/>
        <v>1040865.6924844285</v>
      </c>
      <c r="O51" s="346">
        <f t="shared" si="16"/>
        <v>1059601.2749491483</v>
      </c>
      <c r="P51" s="346">
        <f t="shared" si="16"/>
        <v>1078674.097898233</v>
      </c>
      <c r="Q51" s="346">
        <f t="shared" si="16"/>
        <v>1098090.2316604012</v>
      </c>
      <c r="R51" s="346">
        <f t="shared" si="16"/>
        <v>1117855.8558302885</v>
      </c>
      <c r="S51" s="346">
        <f t="shared" si="16"/>
        <v>1137977.2612352336</v>
      </c>
      <c r="T51" s="346">
        <f t="shared" si="16"/>
        <v>1158460.8519374679</v>
      </c>
      <c r="U51" s="346">
        <f t="shared" si="16"/>
        <v>1179313.1472723424</v>
      </c>
      <c r="V51" s="346">
        <f t="shared" si="16"/>
        <v>1200540.7839232446</v>
      </c>
      <c r="W51" s="198">
        <f t="shared" ref="W51:AD51" si="17">W42*$B$20</f>
        <v>2422691.3019571076</v>
      </c>
      <c r="X51" s="198">
        <f t="shared" si="17"/>
        <v>4888991.0473494437</v>
      </c>
      <c r="Y51" s="198">
        <f t="shared" si="17"/>
        <v>9865983.9335511774</v>
      </c>
      <c r="Z51" s="198">
        <f t="shared" si="17"/>
        <v>19909555.577906277</v>
      </c>
      <c r="AA51" s="198">
        <f t="shared" si="17"/>
        <v>40177483.156214863</v>
      </c>
      <c r="AB51" s="198">
        <f t="shared" si="17"/>
        <v>81078161.009241596</v>
      </c>
      <c r="AC51" s="198">
        <f t="shared" si="17"/>
        <v>163615728.91664952</v>
      </c>
      <c r="AD51" s="198">
        <f t="shared" si="17"/>
        <v>330176540.95379877</v>
      </c>
      <c r="AE51" s="341"/>
    </row>
    <row r="52" spans="1:31" ht="27.75" customHeight="1">
      <c r="A52" s="179" t="s">
        <v>285</v>
      </c>
      <c r="B52" s="347">
        <v>0</v>
      </c>
      <c r="C52" s="347">
        <v>0</v>
      </c>
      <c r="D52" s="347">
        <f>AG17</f>
        <v>101426.39004149377</v>
      </c>
      <c r="E52" s="347">
        <f>AG18</f>
        <v>96247.170124481316</v>
      </c>
      <c r="F52" s="347">
        <f>AG19</f>
        <v>91067.95020746885</v>
      </c>
      <c r="G52" s="347">
        <f>AG20</f>
        <v>85888.730290456413</v>
      </c>
      <c r="H52" s="347">
        <f>AG21</f>
        <v>80709.510373443962</v>
      </c>
      <c r="I52" s="347">
        <f>AG22</f>
        <v>75530.290456431525</v>
      </c>
      <c r="J52" s="347">
        <f>AG23</f>
        <v>70351.070539419074</v>
      </c>
      <c r="K52" s="347">
        <f>AG24</f>
        <v>65171.85062240663</v>
      </c>
      <c r="L52" s="347">
        <f>AG25</f>
        <v>59992.630705394178</v>
      </c>
      <c r="M52" s="200">
        <f>AG26</f>
        <v>54813.410788381741</v>
      </c>
      <c r="N52" s="200">
        <f>AG27</f>
        <v>49634.190871369283</v>
      </c>
      <c r="O52" s="200">
        <f>AG28</f>
        <v>44454.970954356839</v>
      </c>
      <c r="P52" s="200">
        <f>AG29</f>
        <v>39275.751037344395</v>
      </c>
      <c r="Q52" s="200">
        <f>AG30</f>
        <v>34096.531120331951</v>
      </c>
      <c r="R52" s="200">
        <f>AG31</f>
        <v>28917.311203319503</v>
      </c>
      <c r="S52" s="200">
        <f>AG32</f>
        <v>23738.091286307055</v>
      </c>
      <c r="T52" s="200">
        <f>AG33</f>
        <v>18558.871369294611</v>
      </c>
      <c r="U52" s="200">
        <f>AG34</f>
        <v>13379.651452282164</v>
      </c>
      <c r="V52" s="200">
        <f>AG35</f>
        <v>8200.4315352697158</v>
      </c>
      <c r="W52" s="200">
        <f t="shared" ref="W52:AD52" si="18">SUM(W53:W58)</f>
        <v>2422691.3019571076</v>
      </c>
      <c r="X52" s="200">
        <f t="shared" si="18"/>
        <v>4888991.0473494437</v>
      </c>
      <c r="Y52" s="200">
        <f t="shared" si="18"/>
        <v>9865983.9335511774</v>
      </c>
      <c r="Z52" s="200">
        <f t="shared" si="18"/>
        <v>19909555.577906277</v>
      </c>
      <c r="AA52" s="200">
        <f t="shared" si="18"/>
        <v>40177483.156214863</v>
      </c>
      <c r="AB52" s="200">
        <f t="shared" si="18"/>
        <v>81078161.009241596</v>
      </c>
      <c r="AC52" s="200">
        <f t="shared" si="18"/>
        <v>163615728.91664952</v>
      </c>
      <c r="AD52" s="200">
        <f t="shared" si="18"/>
        <v>330176540.95379877</v>
      </c>
    </row>
    <row r="53" spans="1:31" ht="27.75" customHeight="1">
      <c r="A53" s="201" t="s">
        <v>286</v>
      </c>
      <c r="B53" s="347">
        <v>0</v>
      </c>
      <c r="C53" s="347">
        <v>0</v>
      </c>
      <c r="D53" s="347">
        <v>0</v>
      </c>
      <c r="E53" s="347">
        <v>0</v>
      </c>
      <c r="F53" s="347">
        <v>0</v>
      </c>
      <c r="G53" s="347">
        <v>0</v>
      </c>
      <c r="H53" s="347">
        <v>0</v>
      </c>
      <c r="I53" s="347">
        <v>0</v>
      </c>
      <c r="J53" s="347">
        <v>0</v>
      </c>
      <c r="K53" s="347">
        <v>0</v>
      </c>
      <c r="L53" s="347">
        <v>0</v>
      </c>
      <c r="M53" s="200">
        <v>0</v>
      </c>
      <c r="N53" s="200">
        <v>0</v>
      </c>
      <c r="O53" s="200">
        <v>0</v>
      </c>
      <c r="P53" s="200">
        <v>0</v>
      </c>
      <c r="Q53" s="200">
        <v>0</v>
      </c>
      <c r="R53" s="200">
        <v>0</v>
      </c>
      <c r="S53" s="200">
        <v>0</v>
      </c>
      <c r="T53" s="200">
        <v>0</v>
      </c>
      <c r="U53" s="200">
        <v>0</v>
      </c>
      <c r="V53" s="200">
        <v>0</v>
      </c>
      <c r="W53" s="200">
        <f t="shared" ref="W53:AD53" si="19">V42*V40+V42</f>
        <v>2422691.3019571076</v>
      </c>
      <c r="X53" s="200">
        <f t="shared" si="19"/>
        <v>4888991.0473494437</v>
      </c>
      <c r="Y53" s="200">
        <f t="shared" si="19"/>
        <v>9865983.9335511774</v>
      </c>
      <c r="Z53" s="200">
        <f t="shared" si="19"/>
        <v>19909555.577906277</v>
      </c>
      <c r="AA53" s="200">
        <f t="shared" si="19"/>
        <v>40177483.156214863</v>
      </c>
      <c r="AB53" s="200">
        <f t="shared" si="19"/>
        <v>81078161.009241596</v>
      </c>
      <c r="AC53" s="200">
        <f t="shared" si="19"/>
        <v>163615728.91664952</v>
      </c>
      <c r="AD53" s="200">
        <f t="shared" si="19"/>
        <v>330176540.95379877</v>
      </c>
    </row>
    <row r="54" spans="1:31" ht="27.75" customHeight="1">
      <c r="A54" s="201" t="str">
        <f>A24</f>
        <v>Прочие расходы при эксплуатации объекта, руб. без НДС</v>
      </c>
      <c r="B54" s="348">
        <v>0</v>
      </c>
      <c r="C54" s="348">
        <v>0</v>
      </c>
      <c r="D54" s="348">
        <v>0</v>
      </c>
      <c r="E54" s="348">
        <v>0</v>
      </c>
      <c r="F54" s="348">
        <v>0</v>
      </c>
      <c r="G54" s="348">
        <v>0</v>
      </c>
      <c r="H54" s="348">
        <v>0</v>
      </c>
      <c r="I54" s="348">
        <v>0</v>
      </c>
      <c r="J54" s="348">
        <v>0</v>
      </c>
      <c r="K54" s="348">
        <v>0</v>
      </c>
      <c r="L54" s="348">
        <v>0</v>
      </c>
      <c r="M54" s="202">
        <v>0</v>
      </c>
      <c r="N54" s="202">
        <v>0</v>
      </c>
      <c r="O54" s="202">
        <v>0</v>
      </c>
      <c r="P54" s="202">
        <v>0</v>
      </c>
      <c r="Q54" s="202">
        <v>0</v>
      </c>
      <c r="R54" s="202">
        <v>0</v>
      </c>
      <c r="S54" s="202">
        <v>0</v>
      </c>
      <c r="T54" s="202">
        <v>0</v>
      </c>
      <c r="U54" s="202">
        <v>0</v>
      </c>
      <c r="V54" s="202">
        <v>0</v>
      </c>
      <c r="W54" s="202"/>
      <c r="X54" s="202"/>
      <c r="Y54" s="202"/>
      <c r="Z54" s="202"/>
      <c r="AA54" s="202"/>
      <c r="AB54" s="202"/>
      <c r="AC54" s="202"/>
      <c r="AD54" s="202"/>
    </row>
    <row r="55" spans="1:31" ht="27.75" customHeight="1">
      <c r="A55" s="201" t="s">
        <v>247</v>
      </c>
      <c r="B55" s="348">
        <v>0</v>
      </c>
      <c r="C55" s="348">
        <v>0</v>
      </c>
      <c r="D55" s="348">
        <v>0</v>
      </c>
      <c r="E55" s="348">
        <v>0</v>
      </c>
      <c r="F55" s="348">
        <v>0</v>
      </c>
      <c r="G55" s="348">
        <v>0</v>
      </c>
      <c r="H55" s="348">
        <v>0</v>
      </c>
      <c r="I55" s="348">
        <v>0</v>
      </c>
      <c r="J55" s="348">
        <v>0</v>
      </c>
      <c r="K55" s="348">
        <v>0</v>
      </c>
      <c r="L55" s="348">
        <v>0</v>
      </c>
      <c r="M55" s="202"/>
      <c r="N55" s="202"/>
      <c r="O55" s="202"/>
      <c r="P55" s="202"/>
      <c r="Q55" s="202"/>
      <c r="R55" s="202"/>
      <c r="S55" s="202"/>
      <c r="T55" s="202"/>
      <c r="U55" s="202"/>
      <c r="V55" s="202"/>
      <c r="W55" s="202"/>
      <c r="X55" s="202"/>
      <c r="Y55" s="202"/>
      <c r="Z55" s="202"/>
      <c r="AA55" s="202"/>
      <c r="AB55" s="202"/>
      <c r="AC55" s="202"/>
      <c r="AD55" s="202"/>
    </row>
    <row r="56" spans="1:31" ht="27.75" customHeight="1">
      <c r="A56" s="201" t="s">
        <v>247</v>
      </c>
      <c r="B56" s="348">
        <v>0</v>
      </c>
      <c r="C56" s="348">
        <v>0</v>
      </c>
      <c r="D56" s="348">
        <v>0</v>
      </c>
      <c r="E56" s="348">
        <v>0</v>
      </c>
      <c r="F56" s="348">
        <v>0</v>
      </c>
      <c r="G56" s="348">
        <v>0</v>
      </c>
      <c r="H56" s="348">
        <v>0</v>
      </c>
      <c r="I56" s="348">
        <v>0</v>
      </c>
      <c r="J56" s="348">
        <v>0</v>
      </c>
      <c r="K56" s="348">
        <v>0</v>
      </c>
      <c r="L56" s="348">
        <v>0</v>
      </c>
      <c r="M56" s="202"/>
      <c r="N56" s="202"/>
      <c r="O56" s="202"/>
      <c r="P56" s="202"/>
      <c r="Q56" s="202"/>
      <c r="R56" s="202"/>
      <c r="S56" s="202"/>
      <c r="T56" s="202"/>
      <c r="U56" s="202"/>
      <c r="V56" s="202"/>
      <c r="W56" s="202"/>
      <c r="X56" s="202"/>
      <c r="Y56" s="202"/>
      <c r="Z56" s="202"/>
      <c r="AA56" s="202"/>
      <c r="AB56" s="202"/>
      <c r="AC56" s="202"/>
      <c r="AD56" s="202"/>
    </row>
    <row r="57" spans="1:31" ht="27.75" customHeight="1">
      <c r="A57" s="201" t="s">
        <v>247</v>
      </c>
      <c r="B57" s="348">
        <v>0</v>
      </c>
      <c r="C57" s="348">
        <v>0</v>
      </c>
      <c r="D57" s="348">
        <v>0</v>
      </c>
      <c r="E57" s="348">
        <v>0</v>
      </c>
      <c r="F57" s="348">
        <v>0</v>
      </c>
      <c r="G57" s="348">
        <v>0</v>
      </c>
      <c r="H57" s="348">
        <v>0</v>
      </c>
      <c r="I57" s="348">
        <v>0</v>
      </c>
      <c r="J57" s="348">
        <v>0</v>
      </c>
      <c r="K57" s="348">
        <v>0</v>
      </c>
      <c r="L57" s="348">
        <v>0</v>
      </c>
      <c r="M57" s="202"/>
      <c r="N57" s="202"/>
      <c r="O57" s="202"/>
      <c r="P57" s="202"/>
      <c r="Q57" s="202"/>
      <c r="R57" s="202"/>
      <c r="S57" s="202"/>
      <c r="T57" s="202"/>
      <c r="U57" s="202"/>
      <c r="V57" s="202"/>
      <c r="W57" s="202"/>
      <c r="X57" s="202"/>
      <c r="Y57" s="202"/>
      <c r="Z57" s="202"/>
      <c r="AA57" s="202"/>
      <c r="AB57" s="202"/>
      <c r="AC57" s="202"/>
      <c r="AD57" s="202"/>
    </row>
    <row r="58" spans="1:31" ht="27.75" customHeight="1">
      <c r="A58" s="201" t="s">
        <v>287</v>
      </c>
      <c r="B58" s="347">
        <v>0</v>
      </c>
      <c r="C58" s="347">
        <v>0</v>
      </c>
      <c r="D58" s="347">
        <f>D52</f>
        <v>101426.39004149377</v>
      </c>
      <c r="E58" s="347">
        <f t="shared" ref="E58:V58" si="20">E52</f>
        <v>96247.170124481316</v>
      </c>
      <c r="F58" s="347">
        <f t="shared" si="20"/>
        <v>91067.95020746885</v>
      </c>
      <c r="G58" s="347">
        <f t="shared" si="20"/>
        <v>85888.730290456413</v>
      </c>
      <c r="H58" s="347">
        <f t="shared" si="20"/>
        <v>80709.510373443962</v>
      </c>
      <c r="I58" s="347">
        <f t="shared" si="20"/>
        <v>75530.290456431525</v>
      </c>
      <c r="J58" s="347">
        <f t="shared" si="20"/>
        <v>70351.070539419074</v>
      </c>
      <c r="K58" s="347">
        <f t="shared" si="20"/>
        <v>65171.85062240663</v>
      </c>
      <c r="L58" s="347">
        <f t="shared" si="20"/>
        <v>59992.630705394178</v>
      </c>
      <c r="M58" s="347">
        <f t="shared" si="20"/>
        <v>54813.410788381741</v>
      </c>
      <c r="N58" s="347">
        <f t="shared" si="20"/>
        <v>49634.190871369283</v>
      </c>
      <c r="O58" s="347">
        <f t="shared" si="20"/>
        <v>44454.970954356839</v>
      </c>
      <c r="P58" s="347">
        <f t="shared" si="20"/>
        <v>39275.751037344395</v>
      </c>
      <c r="Q58" s="347">
        <f t="shared" si="20"/>
        <v>34096.531120331951</v>
      </c>
      <c r="R58" s="347">
        <f t="shared" si="20"/>
        <v>28917.311203319503</v>
      </c>
      <c r="S58" s="347">
        <f t="shared" si="20"/>
        <v>23738.091286307055</v>
      </c>
      <c r="T58" s="347">
        <f t="shared" si="20"/>
        <v>18558.871369294611</v>
      </c>
      <c r="U58" s="347">
        <f t="shared" si="20"/>
        <v>13379.651452282164</v>
      </c>
      <c r="V58" s="347">
        <f t="shared" si="20"/>
        <v>8200.4315352697158</v>
      </c>
      <c r="W58" s="200"/>
      <c r="X58" s="200"/>
      <c r="Y58" s="200"/>
      <c r="Z58" s="200"/>
      <c r="AA58" s="200"/>
      <c r="AB58" s="200"/>
      <c r="AC58" s="200"/>
      <c r="AD58" s="200"/>
      <c r="AE58" s="339">
        <v>1000</v>
      </c>
    </row>
    <row r="59" spans="1:31" s="140" customFormat="1" ht="27.75" customHeight="1">
      <c r="A59" s="203" t="s">
        <v>288</v>
      </c>
      <c r="B59" s="346">
        <f>B51-B52</f>
        <v>722852.47</v>
      </c>
      <c r="C59" s="346">
        <f t="shared" ref="C59:V59" si="21">C51-C52</f>
        <v>761886.50338000001</v>
      </c>
      <c r="D59" s="346">
        <f t="shared" si="21"/>
        <v>688649.91396356618</v>
      </c>
      <c r="E59" s="346">
        <f t="shared" si="21"/>
        <v>723852.03343277099</v>
      </c>
      <c r="F59" s="346">
        <f t="shared" si="21"/>
        <v>760195.02308495913</v>
      </c>
      <c r="G59" s="346">
        <f t="shared" si="21"/>
        <v>797722.23598708375</v>
      </c>
      <c r="H59" s="346">
        <f t="shared" si="21"/>
        <v>836478.67262264283</v>
      </c>
      <c r="I59" s="346">
        <f t="shared" si="21"/>
        <v>876511.0434935065</v>
      </c>
      <c r="J59" s="346">
        <f t="shared" si="21"/>
        <v>898827.00742161786</v>
      </c>
      <c r="K59" s="346">
        <f t="shared" si="21"/>
        <v>921451.43274192908</v>
      </c>
      <c r="L59" s="346">
        <f t="shared" si="21"/>
        <v>944389.87175949954</v>
      </c>
      <c r="M59" s="346">
        <f t="shared" si="21"/>
        <v>967647.97672088013</v>
      </c>
      <c r="N59" s="346">
        <f t="shared" si="21"/>
        <v>991231.5016130592</v>
      </c>
      <c r="O59" s="346">
        <f t="shared" si="21"/>
        <v>1015146.3039947915</v>
      </c>
      <c r="P59" s="346">
        <f t="shared" si="21"/>
        <v>1039398.3468608886</v>
      </c>
      <c r="Q59" s="346">
        <f t="shared" si="21"/>
        <v>1063993.7005400693</v>
      </c>
      <c r="R59" s="346">
        <f t="shared" si="21"/>
        <v>1088938.5446269689</v>
      </c>
      <c r="S59" s="346">
        <f t="shared" si="21"/>
        <v>1114239.1699489267</v>
      </c>
      <c r="T59" s="346">
        <f t="shared" si="21"/>
        <v>1139901.9805681733</v>
      </c>
      <c r="U59" s="346">
        <f t="shared" si="21"/>
        <v>1165933.4958200601</v>
      </c>
      <c r="V59" s="346">
        <f t="shared" si="21"/>
        <v>1192340.352387975</v>
      </c>
      <c r="W59" s="198">
        <f t="shared" ref="W59:AD59" si="22">W51+W52</f>
        <v>4845382.6039142152</v>
      </c>
      <c r="X59" s="198">
        <f t="shared" si="22"/>
        <v>9777982.0946988873</v>
      </c>
      <c r="Y59" s="198">
        <f t="shared" si="22"/>
        <v>19731967.867102355</v>
      </c>
      <c r="Z59" s="198">
        <f t="shared" si="22"/>
        <v>39819111.155812554</v>
      </c>
      <c r="AA59" s="198">
        <f t="shared" si="22"/>
        <v>80354966.312429726</v>
      </c>
      <c r="AB59" s="198">
        <f t="shared" si="22"/>
        <v>162156322.01848319</v>
      </c>
      <c r="AC59" s="198">
        <f t="shared" si="22"/>
        <v>327231457.83329904</v>
      </c>
      <c r="AD59" s="198">
        <f t="shared" si="22"/>
        <v>660353081.90759754</v>
      </c>
      <c r="AE59" s="341"/>
    </row>
    <row r="60" spans="1:31" ht="27.75" customHeight="1">
      <c r="A60" s="201" t="s">
        <v>289</v>
      </c>
      <c r="B60" s="349">
        <v>0</v>
      </c>
      <c r="C60" s="349">
        <v>0</v>
      </c>
      <c r="D60" s="349">
        <f>AE17</f>
        <v>235419.08713692945</v>
      </c>
      <c r="E60" s="349">
        <f t="shared" ref="E60:V60" si="23">D60</f>
        <v>235419.08713692945</v>
      </c>
      <c r="F60" s="349">
        <f t="shared" si="23"/>
        <v>235419.08713692945</v>
      </c>
      <c r="G60" s="349">
        <f t="shared" si="23"/>
        <v>235419.08713692945</v>
      </c>
      <c r="H60" s="349">
        <f t="shared" si="23"/>
        <v>235419.08713692945</v>
      </c>
      <c r="I60" s="349">
        <f t="shared" si="23"/>
        <v>235419.08713692945</v>
      </c>
      <c r="J60" s="349">
        <f t="shared" si="23"/>
        <v>235419.08713692945</v>
      </c>
      <c r="K60" s="349">
        <f t="shared" si="23"/>
        <v>235419.08713692945</v>
      </c>
      <c r="L60" s="349">
        <f t="shared" si="23"/>
        <v>235419.08713692945</v>
      </c>
      <c r="M60" s="349">
        <f t="shared" si="23"/>
        <v>235419.08713692945</v>
      </c>
      <c r="N60" s="349">
        <f t="shared" si="23"/>
        <v>235419.08713692945</v>
      </c>
      <c r="O60" s="349">
        <f t="shared" si="23"/>
        <v>235419.08713692945</v>
      </c>
      <c r="P60" s="349">
        <f t="shared" si="23"/>
        <v>235419.08713692945</v>
      </c>
      <c r="Q60" s="349">
        <f t="shared" si="23"/>
        <v>235419.08713692945</v>
      </c>
      <c r="R60" s="349">
        <f t="shared" si="23"/>
        <v>235419.08713692945</v>
      </c>
      <c r="S60" s="349">
        <f t="shared" si="23"/>
        <v>235419.08713692945</v>
      </c>
      <c r="T60" s="349">
        <f t="shared" si="23"/>
        <v>235419.08713692945</v>
      </c>
      <c r="U60" s="349">
        <f t="shared" si="23"/>
        <v>235419.08713692945</v>
      </c>
      <c r="V60" s="349">
        <f t="shared" si="23"/>
        <v>235419.08713692945</v>
      </c>
      <c r="W60" s="204" t="e">
        <f t="shared" ref="W60:AD60" si="24">-($B$17+$B$18)*$B$20/$B$19</f>
        <v>#VALUE!</v>
      </c>
      <c r="X60" s="204" t="e">
        <f t="shared" si="24"/>
        <v>#VALUE!</v>
      </c>
      <c r="Y60" s="204" t="e">
        <f t="shared" si="24"/>
        <v>#VALUE!</v>
      </c>
      <c r="Z60" s="204" t="e">
        <f t="shared" si="24"/>
        <v>#VALUE!</v>
      </c>
      <c r="AA60" s="204" t="e">
        <f t="shared" si="24"/>
        <v>#VALUE!</v>
      </c>
      <c r="AB60" s="204" t="e">
        <f t="shared" si="24"/>
        <v>#VALUE!</v>
      </c>
      <c r="AC60" s="204" t="e">
        <f t="shared" si="24"/>
        <v>#VALUE!</v>
      </c>
      <c r="AD60" s="204" t="e">
        <f t="shared" si="24"/>
        <v>#VALUE!</v>
      </c>
    </row>
    <row r="61" spans="1:31" s="140" customFormat="1" ht="27.75" customHeight="1">
      <c r="A61" s="203" t="s">
        <v>290</v>
      </c>
      <c r="B61" s="346">
        <f t="shared" ref="B61:K61" si="25">B59</f>
        <v>722852.47</v>
      </c>
      <c r="C61" s="346">
        <f t="shared" si="25"/>
        <v>761886.50338000001</v>
      </c>
      <c r="D61" s="346">
        <f t="shared" si="25"/>
        <v>688649.91396356618</v>
      </c>
      <c r="E61" s="346">
        <f t="shared" si="25"/>
        <v>723852.03343277099</v>
      </c>
      <c r="F61" s="346">
        <f t="shared" si="25"/>
        <v>760195.02308495913</v>
      </c>
      <c r="G61" s="346">
        <f t="shared" si="25"/>
        <v>797722.23598708375</v>
      </c>
      <c r="H61" s="346">
        <f t="shared" si="25"/>
        <v>836478.67262264283</v>
      </c>
      <c r="I61" s="346">
        <f t="shared" si="25"/>
        <v>876511.0434935065</v>
      </c>
      <c r="J61" s="346">
        <f t="shared" si="25"/>
        <v>898827.00742161786</v>
      </c>
      <c r="K61" s="346">
        <f t="shared" si="25"/>
        <v>921451.43274192908</v>
      </c>
      <c r="L61" s="346">
        <f>L59</f>
        <v>944389.87175949954</v>
      </c>
      <c r="M61" s="346">
        <f t="shared" ref="M61:V61" si="26">M59</f>
        <v>967647.97672088013</v>
      </c>
      <c r="N61" s="346">
        <f t="shared" si="26"/>
        <v>991231.5016130592</v>
      </c>
      <c r="O61" s="346">
        <f t="shared" si="26"/>
        <v>1015146.3039947915</v>
      </c>
      <c r="P61" s="346">
        <f t="shared" si="26"/>
        <v>1039398.3468608886</v>
      </c>
      <c r="Q61" s="346">
        <f t="shared" si="26"/>
        <v>1063993.7005400693</v>
      </c>
      <c r="R61" s="346">
        <f t="shared" si="26"/>
        <v>1088938.5446269689</v>
      </c>
      <c r="S61" s="346">
        <f t="shared" si="26"/>
        <v>1114239.1699489267</v>
      </c>
      <c r="T61" s="346">
        <f t="shared" si="26"/>
        <v>1139901.9805681733</v>
      </c>
      <c r="U61" s="346">
        <f t="shared" si="26"/>
        <v>1165933.4958200601</v>
      </c>
      <c r="V61" s="346">
        <f t="shared" si="26"/>
        <v>1192340.352387975</v>
      </c>
      <c r="W61" s="198" t="e">
        <f t="shared" ref="W61:AD61" si="27">W59+W60</f>
        <v>#VALUE!</v>
      </c>
      <c r="X61" s="198" t="e">
        <f t="shared" si="27"/>
        <v>#VALUE!</v>
      </c>
      <c r="Y61" s="198" t="e">
        <f t="shared" si="27"/>
        <v>#VALUE!</v>
      </c>
      <c r="Z61" s="198" t="e">
        <f t="shared" si="27"/>
        <v>#VALUE!</v>
      </c>
      <c r="AA61" s="198" t="e">
        <f t="shared" si="27"/>
        <v>#VALUE!</v>
      </c>
      <c r="AB61" s="198" t="e">
        <f t="shared" si="27"/>
        <v>#VALUE!</v>
      </c>
      <c r="AC61" s="198" t="e">
        <f t="shared" si="27"/>
        <v>#VALUE!</v>
      </c>
      <c r="AD61" s="198" t="e">
        <f t="shared" si="27"/>
        <v>#VALUE!</v>
      </c>
      <c r="AE61" s="341"/>
    </row>
    <row r="62" spans="1:31" ht="27.75" customHeight="1">
      <c r="A62" s="201" t="s">
        <v>291</v>
      </c>
      <c r="B62" s="347">
        <v>0</v>
      </c>
      <c r="C62" s="347">
        <v>0</v>
      </c>
      <c r="D62" s="347">
        <v>0</v>
      </c>
      <c r="E62" s="347">
        <v>0</v>
      </c>
      <c r="F62" s="347">
        <v>0</v>
      </c>
      <c r="G62" s="347">
        <v>0</v>
      </c>
      <c r="H62" s="347">
        <v>0</v>
      </c>
      <c r="I62" s="347">
        <v>0</v>
      </c>
      <c r="J62" s="347">
        <v>0</v>
      </c>
      <c r="K62" s="347">
        <v>0</v>
      </c>
      <c r="L62" s="347">
        <v>0</v>
      </c>
      <c r="M62" s="200">
        <f t="shared" ref="M62:V62" si="28">-M48</f>
        <v>0</v>
      </c>
      <c r="N62" s="200">
        <f t="shared" si="28"/>
        <v>0</v>
      </c>
      <c r="O62" s="200">
        <f t="shared" si="28"/>
        <v>0</v>
      </c>
      <c r="P62" s="200">
        <f t="shared" si="28"/>
        <v>0</v>
      </c>
      <c r="Q62" s="200">
        <f t="shared" si="28"/>
        <v>0</v>
      </c>
      <c r="R62" s="200">
        <f t="shared" si="28"/>
        <v>0</v>
      </c>
      <c r="S62" s="200">
        <f t="shared" si="28"/>
        <v>0</v>
      </c>
      <c r="T62" s="200">
        <f t="shared" si="28"/>
        <v>0</v>
      </c>
      <c r="U62" s="200">
        <f t="shared" si="28"/>
        <v>0</v>
      </c>
      <c r="V62" s="200">
        <f t="shared" si="28"/>
        <v>0</v>
      </c>
      <c r="W62" s="200" t="e">
        <f t="shared" ref="W62:AD62" si="29">-W48</f>
        <v>#VALUE!</v>
      </c>
      <c r="X62" s="200" t="e">
        <f t="shared" si="29"/>
        <v>#VALUE!</v>
      </c>
      <c r="Y62" s="200" t="e">
        <f t="shared" si="29"/>
        <v>#VALUE!</v>
      </c>
      <c r="Z62" s="200" t="e">
        <f t="shared" si="29"/>
        <v>#VALUE!</v>
      </c>
      <c r="AA62" s="200" t="e">
        <f t="shared" si="29"/>
        <v>#VALUE!</v>
      </c>
      <c r="AB62" s="200" t="e">
        <f t="shared" si="29"/>
        <v>#VALUE!</v>
      </c>
      <c r="AC62" s="200" t="e">
        <f t="shared" si="29"/>
        <v>#VALUE!</v>
      </c>
      <c r="AD62" s="200" t="e">
        <f t="shared" si="29"/>
        <v>#VALUE!</v>
      </c>
    </row>
    <row r="63" spans="1:31" s="140" customFormat="1" ht="27.75" customHeight="1">
      <c r="A63" s="203" t="s">
        <v>292</v>
      </c>
      <c r="B63" s="346">
        <f>B61-B62-B60</f>
        <v>722852.47</v>
      </c>
      <c r="C63" s="346">
        <f t="shared" ref="C63:V63" si="30">C61-C62-C60</f>
        <v>761886.50338000001</v>
      </c>
      <c r="D63" s="346">
        <f t="shared" si="30"/>
        <v>453230.82682663674</v>
      </c>
      <c r="E63" s="346">
        <f t="shared" si="30"/>
        <v>488432.94629584154</v>
      </c>
      <c r="F63" s="346">
        <f t="shared" si="30"/>
        <v>524775.93594802963</v>
      </c>
      <c r="G63" s="346">
        <f t="shared" si="30"/>
        <v>562303.14885015436</v>
      </c>
      <c r="H63" s="346">
        <f t="shared" si="30"/>
        <v>601059.58548571332</v>
      </c>
      <c r="I63" s="346">
        <f t="shared" si="30"/>
        <v>641091.95635657711</v>
      </c>
      <c r="J63" s="346">
        <f t="shared" si="30"/>
        <v>663407.92028468847</v>
      </c>
      <c r="K63" s="346">
        <f t="shared" si="30"/>
        <v>686032.34560499969</v>
      </c>
      <c r="L63" s="346">
        <f t="shared" si="30"/>
        <v>708970.78462257003</v>
      </c>
      <c r="M63" s="346">
        <f t="shared" si="30"/>
        <v>732228.88958395063</v>
      </c>
      <c r="N63" s="346">
        <f t="shared" si="30"/>
        <v>755812.41447612969</v>
      </c>
      <c r="O63" s="346">
        <f t="shared" si="30"/>
        <v>779727.21685786196</v>
      </c>
      <c r="P63" s="346">
        <f t="shared" si="30"/>
        <v>803979.25972395926</v>
      </c>
      <c r="Q63" s="346">
        <f t="shared" si="30"/>
        <v>828574.61340313987</v>
      </c>
      <c r="R63" s="346">
        <f t="shared" si="30"/>
        <v>853519.45749003952</v>
      </c>
      <c r="S63" s="346">
        <f t="shared" si="30"/>
        <v>878820.08281199727</v>
      </c>
      <c r="T63" s="346">
        <f t="shared" si="30"/>
        <v>904482.89343124395</v>
      </c>
      <c r="U63" s="346">
        <f t="shared" si="30"/>
        <v>930514.40868313075</v>
      </c>
      <c r="V63" s="346">
        <f t="shared" si="30"/>
        <v>956921.26525104558</v>
      </c>
      <c r="W63" s="198" t="e">
        <f t="shared" ref="W63:AD63" si="31">W61+W62</f>
        <v>#VALUE!</v>
      </c>
      <c r="X63" s="198" t="e">
        <f t="shared" si="31"/>
        <v>#VALUE!</v>
      </c>
      <c r="Y63" s="198" t="e">
        <f t="shared" si="31"/>
        <v>#VALUE!</v>
      </c>
      <c r="Z63" s="198" t="e">
        <f t="shared" si="31"/>
        <v>#VALUE!</v>
      </c>
      <c r="AA63" s="198" t="e">
        <f t="shared" si="31"/>
        <v>#VALUE!</v>
      </c>
      <c r="AB63" s="198" t="e">
        <f t="shared" si="31"/>
        <v>#VALUE!</v>
      </c>
      <c r="AC63" s="198" t="e">
        <f t="shared" si="31"/>
        <v>#VALUE!</v>
      </c>
      <c r="AD63" s="198" t="e">
        <f t="shared" si="31"/>
        <v>#VALUE!</v>
      </c>
      <c r="AE63" s="341"/>
    </row>
    <row r="64" spans="1:31" ht="27.75" customHeight="1">
      <c r="A64" s="201" t="s">
        <v>264</v>
      </c>
      <c r="B64" s="347">
        <f>B63*0.2</f>
        <v>144570.49400000001</v>
      </c>
      <c r="C64" s="347">
        <f t="shared" ref="C64:V64" si="32">C63*0.2</f>
        <v>152377.30067600001</v>
      </c>
      <c r="D64" s="347">
        <f t="shared" si="32"/>
        <v>90646.165365327353</v>
      </c>
      <c r="E64" s="347">
        <f t="shared" si="32"/>
        <v>97686.589259168308</v>
      </c>
      <c r="F64" s="347">
        <f t="shared" si="32"/>
        <v>104955.18718960593</v>
      </c>
      <c r="G64" s="347">
        <f t="shared" si="32"/>
        <v>112460.62977003088</v>
      </c>
      <c r="H64" s="347">
        <f t="shared" si="32"/>
        <v>120211.91709714266</v>
      </c>
      <c r="I64" s="347">
        <f t="shared" si="32"/>
        <v>128218.39127131543</v>
      </c>
      <c r="J64" s="347">
        <f t="shared" si="32"/>
        <v>132681.58405693769</v>
      </c>
      <c r="K64" s="347">
        <f t="shared" si="32"/>
        <v>137206.46912099994</v>
      </c>
      <c r="L64" s="347">
        <f t="shared" si="32"/>
        <v>141794.15692451401</v>
      </c>
      <c r="M64" s="347">
        <f t="shared" si="32"/>
        <v>146445.77791679013</v>
      </c>
      <c r="N64" s="347">
        <f t="shared" si="32"/>
        <v>151162.48289522596</v>
      </c>
      <c r="O64" s="347">
        <f t="shared" si="32"/>
        <v>155945.44337157239</v>
      </c>
      <c r="P64" s="347">
        <f t="shared" si="32"/>
        <v>160795.85194479185</v>
      </c>
      <c r="Q64" s="347">
        <f t="shared" si="32"/>
        <v>165714.92268062799</v>
      </c>
      <c r="R64" s="347">
        <f t="shared" si="32"/>
        <v>170703.89149800793</v>
      </c>
      <c r="S64" s="347">
        <f t="shared" si="32"/>
        <v>175764.01656239945</v>
      </c>
      <c r="T64" s="347">
        <f t="shared" si="32"/>
        <v>180896.5786862488</v>
      </c>
      <c r="U64" s="347">
        <f t="shared" si="32"/>
        <v>186102.88173662615</v>
      </c>
      <c r="V64" s="347">
        <f t="shared" si="32"/>
        <v>191384.25305020914</v>
      </c>
      <c r="W64" s="200" t="e">
        <f t="shared" ref="W64:AD64" si="33">-W63*$B$28</f>
        <v>#VALUE!</v>
      </c>
      <c r="X64" s="200" t="e">
        <f t="shared" si="33"/>
        <v>#VALUE!</v>
      </c>
      <c r="Y64" s="200" t="e">
        <f t="shared" si="33"/>
        <v>#VALUE!</v>
      </c>
      <c r="Z64" s="200" t="e">
        <f t="shared" si="33"/>
        <v>#VALUE!</v>
      </c>
      <c r="AA64" s="200" t="e">
        <f t="shared" si="33"/>
        <v>#VALUE!</v>
      </c>
      <c r="AB64" s="200" t="e">
        <f t="shared" si="33"/>
        <v>#VALUE!</v>
      </c>
      <c r="AC64" s="200" t="e">
        <f t="shared" si="33"/>
        <v>#VALUE!</v>
      </c>
      <c r="AD64" s="200" t="e">
        <f t="shared" si="33"/>
        <v>#VALUE!</v>
      </c>
    </row>
    <row r="65" spans="1:31" ht="27.75" customHeight="1" thickBot="1">
      <c r="A65" s="205" t="s">
        <v>293</v>
      </c>
      <c r="B65" s="350">
        <f>B63-B64</f>
        <v>578281.97600000002</v>
      </c>
      <c r="C65" s="350">
        <f t="shared" ref="C65:V65" si="34">C63-C64</f>
        <v>609509.20270400005</v>
      </c>
      <c r="D65" s="350">
        <f t="shared" si="34"/>
        <v>362584.66146130941</v>
      </c>
      <c r="E65" s="350">
        <f t="shared" si="34"/>
        <v>390746.35703667323</v>
      </c>
      <c r="F65" s="350">
        <f t="shared" si="34"/>
        <v>419820.74875842372</v>
      </c>
      <c r="G65" s="350">
        <f t="shared" si="34"/>
        <v>449842.51908012351</v>
      </c>
      <c r="H65" s="350">
        <f t="shared" si="34"/>
        <v>480847.66838857066</v>
      </c>
      <c r="I65" s="350">
        <f t="shared" si="34"/>
        <v>512873.56508526171</v>
      </c>
      <c r="J65" s="350">
        <f t="shared" si="34"/>
        <v>530726.33622775075</v>
      </c>
      <c r="K65" s="350">
        <f t="shared" si="34"/>
        <v>548825.87648399977</v>
      </c>
      <c r="L65" s="350">
        <f t="shared" si="34"/>
        <v>567176.62769805605</v>
      </c>
      <c r="M65" s="350">
        <f t="shared" si="34"/>
        <v>585783.11166716053</v>
      </c>
      <c r="N65" s="350">
        <f t="shared" si="34"/>
        <v>604649.93158090371</v>
      </c>
      <c r="O65" s="350">
        <f t="shared" si="34"/>
        <v>623781.77348628954</v>
      </c>
      <c r="P65" s="350">
        <f t="shared" si="34"/>
        <v>643183.40777916741</v>
      </c>
      <c r="Q65" s="350">
        <f t="shared" si="34"/>
        <v>662859.69072251185</v>
      </c>
      <c r="R65" s="350">
        <f t="shared" si="34"/>
        <v>682815.5659920316</v>
      </c>
      <c r="S65" s="350">
        <f t="shared" si="34"/>
        <v>703056.06624959782</v>
      </c>
      <c r="T65" s="350">
        <f t="shared" si="34"/>
        <v>723586.31474499521</v>
      </c>
      <c r="U65" s="350">
        <f t="shared" si="34"/>
        <v>744411.5269465046</v>
      </c>
      <c r="V65" s="350">
        <f t="shared" si="34"/>
        <v>765537.01220083644</v>
      </c>
      <c r="W65" s="206" t="e">
        <f t="shared" ref="W65:AD65" si="35">W63+W64</f>
        <v>#VALUE!</v>
      </c>
      <c r="X65" s="206" t="e">
        <f t="shared" si="35"/>
        <v>#VALUE!</v>
      </c>
      <c r="Y65" s="206" t="e">
        <f t="shared" si="35"/>
        <v>#VALUE!</v>
      </c>
      <c r="Z65" s="206" t="e">
        <f t="shared" si="35"/>
        <v>#VALUE!</v>
      </c>
      <c r="AA65" s="206" t="e">
        <f t="shared" si="35"/>
        <v>#VALUE!</v>
      </c>
      <c r="AB65" s="206" t="e">
        <f t="shared" si="35"/>
        <v>#VALUE!</v>
      </c>
      <c r="AC65" s="206" t="e">
        <f t="shared" si="35"/>
        <v>#VALUE!</v>
      </c>
      <c r="AD65" s="206" t="e">
        <f t="shared" si="35"/>
        <v>#VALUE!</v>
      </c>
    </row>
    <row r="66" spans="1:31" ht="27.75" customHeight="1" thickBot="1">
      <c r="A66" s="194"/>
      <c r="B66" s="207"/>
      <c r="C66" s="207"/>
      <c r="D66" s="207"/>
      <c r="E66" s="207"/>
      <c r="F66" s="207"/>
      <c r="G66" s="207"/>
      <c r="H66" s="207"/>
      <c r="I66" s="207"/>
      <c r="J66" s="207"/>
      <c r="K66" s="207"/>
      <c r="L66" s="207"/>
      <c r="M66" s="207"/>
      <c r="N66" s="207"/>
      <c r="O66" s="207"/>
      <c r="P66" s="207"/>
      <c r="Q66" s="207"/>
      <c r="R66" s="207"/>
      <c r="S66" s="207"/>
      <c r="T66" s="207"/>
      <c r="U66" s="207"/>
      <c r="V66" s="207"/>
      <c r="W66" s="207"/>
      <c r="X66" s="207"/>
      <c r="Y66" s="207"/>
      <c r="Z66" s="207"/>
      <c r="AA66" s="207"/>
      <c r="AB66" s="207"/>
      <c r="AC66" s="207"/>
      <c r="AD66" s="207"/>
    </row>
    <row r="67" spans="1:31" ht="27.75" customHeight="1">
      <c r="A67" s="187" t="s">
        <v>294</v>
      </c>
      <c r="B67" s="178">
        <f t="shared" ref="B67:AD67" si="36">B50</f>
        <v>2018</v>
      </c>
      <c r="C67" s="178">
        <f t="shared" si="36"/>
        <v>2019</v>
      </c>
      <c r="D67" s="178">
        <f t="shared" si="36"/>
        <v>2020</v>
      </c>
      <c r="E67" s="178">
        <f t="shared" si="36"/>
        <v>2021</v>
      </c>
      <c r="F67" s="178">
        <f t="shared" si="36"/>
        <v>2022</v>
      </c>
      <c r="G67" s="178">
        <f t="shared" si="36"/>
        <v>2023</v>
      </c>
      <c r="H67" s="178">
        <f t="shared" si="36"/>
        <v>2024</v>
      </c>
      <c r="I67" s="178">
        <f t="shared" si="36"/>
        <v>2025</v>
      </c>
      <c r="J67" s="178">
        <f t="shared" si="36"/>
        <v>2026</v>
      </c>
      <c r="K67" s="178">
        <f t="shared" si="36"/>
        <v>2027</v>
      </c>
      <c r="L67" s="178">
        <f t="shared" si="36"/>
        <v>2028</v>
      </c>
      <c r="M67" s="178">
        <f t="shared" si="36"/>
        <v>2029</v>
      </c>
      <c r="N67" s="178">
        <f t="shared" si="36"/>
        <v>2030</v>
      </c>
      <c r="O67" s="178">
        <f t="shared" si="36"/>
        <v>2031</v>
      </c>
      <c r="P67" s="178">
        <f t="shared" si="36"/>
        <v>2032</v>
      </c>
      <c r="Q67" s="178">
        <f t="shared" si="36"/>
        <v>2033</v>
      </c>
      <c r="R67" s="178">
        <f t="shared" si="36"/>
        <v>2034</v>
      </c>
      <c r="S67" s="178">
        <f t="shared" si="36"/>
        <v>2035</v>
      </c>
      <c r="T67" s="178">
        <f t="shared" si="36"/>
        <v>2036</v>
      </c>
      <c r="U67" s="178">
        <f t="shared" si="36"/>
        <v>2037</v>
      </c>
      <c r="V67" s="178">
        <f t="shared" si="36"/>
        <v>2038</v>
      </c>
      <c r="W67" s="178">
        <f t="shared" si="36"/>
        <v>2039</v>
      </c>
      <c r="X67" s="178">
        <f t="shared" si="36"/>
        <v>2040</v>
      </c>
      <c r="Y67" s="178">
        <f t="shared" si="36"/>
        <v>2041</v>
      </c>
      <c r="Z67" s="178">
        <f t="shared" si="36"/>
        <v>2042</v>
      </c>
      <c r="AA67" s="178">
        <f t="shared" si="36"/>
        <v>2043</v>
      </c>
      <c r="AB67" s="178">
        <f t="shared" si="36"/>
        <v>2044</v>
      </c>
      <c r="AC67" s="178">
        <f t="shared" si="36"/>
        <v>2045</v>
      </c>
      <c r="AD67" s="178">
        <f t="shared" si="36"/>
        <v>2046</v>
      </c>
    </row>
    <row r="68" spans="1:31" s="140" customFormat="1" ht="27.75" customHeight="1">
      <c r="A68" s="196" t="s">
        <v>295</v>
      </c>
      <c r="B68" s="351">
        <f>B61</f>
        <v>722852.47</v>
      </c>
      <c r="C68" s="351">
        <f t="shared" ref="C68:V68" si="37">C61</f>
        <v>761886.50338000001</v>
      </c>
      <c r="D68" s="351">
        <f t="shared" si="37"/>
        <v>688649.91396356618</v>
      </c>
      <c r="E68" s="351">
        <f t="shared" si="37"/>
        <v>723852.03343277099</v>
      </c>
      <c r="F68" s="351">
        <f t="shared" si="37"/>
        <v>760195.02308495913</v>
      </c>
      <c r="G68" s="351">
        <f t="shared" si="37"/>
        <v>797722.23598708375</v>
      </c>
      <c r="H68" s="351">
        <f t="shared" si="37"/>
        <v>836478.67262264283</v>
      </c>
      <c r="I68" s="351">
        <f t="shared" si="37"/>
        <v>876511.0434935065</v>
      </c>
      <c r="J68" s="351">
        <f t="shared" si="37"/>
        <v>898827.00742161786</v>
      </c>
      <c r="K68" s="351">
        <f t="shared" si="37"/>
        <v>921451.43274192908</v>
      </c>
      <c r="L68" s="351">
        <f t="shared" si="37"/>
        <v>944389.87175949954</v>
      </c>
      <c r="M68" s="351">
        <f t="shared" si="37"/>
        <v>967647.97672088013</v>
      </c>
      <c r="N68" s="351">
        <f t="shared" si="37"/>
        <v>991231.5016130592</v>
      </c>
      <c r="O68" s="351">
        <f t="shared" si="37"/>
        <v>1015146.3039947915</v>
      </c>
      <c r="P68" s="351">
        <f t="shared" si="37"/>
        <v>1039398.3468608886</v>
      </c>
      <c r="Q68" s="351">
        <f t="shared" si="37"/>
        <v>1063993.7005400693</v>
      </c>
      <c r="R68" s="351">
        <f t="shared" si="37"/>
        <v>1088938.5446269689</v>
      </c>
      <c r="S68" s="351">
        <f t="shared" si="37"/>
        <v>1114239.1699489267</v>
      </c>
      <c r="T68" s="351">
        <f t="shared" si="37"/>
        <v>1139901.9805681733</v>
      </c>
      <c r="U68" s="351">
        <f t="shared" si="37"/>
        <v>1165933.4958200601</v>
      </c>
      <c r="V68" s="351">
        <f t="shared" si="37"/>
        <v>1192340.352387975</v>
      </c>
      <c r="W68" s="198" t="e">
        <f t="shared" ref="W68:AD68" si="38">W61</f>
        <v>#VALUE!</v>
      </c>
      <c r="X68" s="198" t="e">
        <f t="shared" si="38"/>
        <v>#VALUE!</v>
      </c>
      <c r="Y68" s="198" t="e">
        <f t="shared" si="38"/>
        <v>#VALUE!</v>
      </c>
      <c r="Z68" s="198" t="e">
        <f t="shared" si="38"/>
        <v>#VALUE!</v>
      </c>
      <c r="AA68" s="198" t="e">
        <f t="shared" si="38"/>
        <v>#VALUE!</v>
      </c>
      <c r="AB68" s="198" t="e">
        <f t="shared" si="38"/>
        <v>#VALUE!</v>
      </c>
      <c r="AC68" s="198" t="e">
        <f t="shared" si="38"/>
        <v>#VALUE!</v>
      </c>
      <c r="AD68" s="198" t="e">
        <f t="shared" si="38"/>
        <v>#VALUE!</v>
      </c>
      <c r="AE68" s="341"/>
    </row>
    <row r="69" spans="1:31" ht="27.75" customHeight="1">
      <c r="A69" s="201" t="s">
        <v>289</v>
      </c>
      <c r="B69" s="188">
        <f>B60</f>
        <v>0</v>
      </c>
      <c r="C69" s="188">
        <f t="shared" ref="C69" si="39">C60</f>
        <v>0</v>
      </c>
      <c r="D69" s="188">
        <v>235419</v>
      </c>
      <c r="E69" s="188">
        <v>235419</v>
      </c>
      <c r="F69" s="188">
        <v>235419</v>
      </c>
      <c r="G69" s="188">
        <v>235419</v>
      </c>
      <c r="H69" s="188">
        <v>235419</v>
      </c>
      <c r="I69" s="188">
        <v>235419</v>
      </c>
      <c r="J69" s="188">
        <v>235419</v>
      </c>
      <c r="K69" s="188">
        <v>235419</v>
      </c>
      <c r="L69" s="188">
        <v>235419</v>
      </c>
      <c r="M69" s="188">
        <v>235419</v>
      </c>
      <c r="N69" s="188">
        <v>235419</v>
      </c>
      <c r="O69" s="188">
        <v>235419</v>
      </c>
      <c r="P69" s="188">
        <v>235419</v>
      </c>
      <c r="Q69" s="188">
        <v>235419</v>
      </c>
      <c r="R69" s="188">
        <v>235419</v>
      </c>
      <c r="S69" s="188">
        <v>235419</v>
      </c>
      <c r="T69" s="188">
        <v>235419</v>
      </c>
      <c r="U69" s="188">
        <v>235419</v>
      </c>
      <c r="V69" s="188">
        <v>235419</v>
      </c>
      <c r="W69" s="200" t="e">
        <f t="shared" ref="W69:AD69" si="40">-W60</f>
        <v>#VALUE!</v>
      </c>
      <c r="X69" s="200" t="e">
        <f t="shared" si="40"/>
        <v>#VALUE!</v>
      </c>
      <c r="Y69" s="200" t="e">
        <f t="shared" si="40"/>
        <v>#VALUE!</v>
      </c>
      <c r="Z69" s="200" t="e">
        <f t="shared" si="40"/>
        <v>#VALUE!</v>
      </c>
      <c r="AA69" s="200" t="e">
        <f t="shared" si="40"/>
        <v>#VALUE!</v>
      </c>
      <c r="AB69" s="200" t="e">
        <f t="shared" si="40"/>
        <v>#VALUE!</v>
      </c>
      <c r="AC69" s="200" t="e">
        <f t="shared" si="40"/>
        <v>#VALUE!</v>
      </c>
      <c r="AD69" s="200" t="e">
        <f t="shared" si="40"/>
        <v>#VALUE!</v>
      </c>
    </row>
    <row r="70" spans="1:31" ht="27.75" customHeight="1">
      <c r="A70" s="201" t="s">
        <v>291</v>
      </c>
      <c r="B70" s="188">
        <v>0</v>
      </c>
      <c r="C70" s="188">
        <v>0</v>
      </c>
      <c r="D70" s="188">
        <v>0</v>
      </c>
      <c r="E70" s="188">
        <v>0</v>
      </c>
      <c r="F70" s="188">
        <v>0</v>
      </c>
      <c r="G70" s="188">
        <v>0</v>
      </c>
      <c r="H70" s="188">
        <v>0</v>
      </c>
      <c r="I70" s="188">
        <v>0</v>
      </c>
      <c r="J70" s="188">
        <v>0</v>
      </c>
      <c r="K70" s="188">
        <v>0</v>
      </c>
      <c r="L70" s="188">
        <v>0</v>
      </c>
      <c r="M70" s="200">
        <f t="shared" ref="M70:V70" si="41">M62</f>
        <v>0</v>
      </c>
      <c r="N70" s="200">
        <f t="shared" si="41"/>
        <v>0</v>
      </c>
      <c r="O70" s="200">
        <f t="shared" si="41"/>
        <v>0</v>
      </c>
      <c r="P70" s="200">
        <f t="shared" si="41"/>
        <v>0</v>
      </c>
      <c r="Q70" s="200">
        <f t="shared" si="41"/>
        <v>0</v>
      </c>
      <c r="R70" s="200">
        <f t="shared" si="41"/>
        <v>0</v>
      </c>
      <c r="S70" s="200">
        <f t="shared" si="41"/>
        <v>0</v>
      </c>
      <c r="T70" s="200">
        <f t="shared" si="41"/>
        <v>0</v>
      </c>
      <c r="U70" s="200">
        <f t="shared" si="41"/>
        <v>0</v>
      </c>
      <c r="V70" s="200">
        <f t="shared" si="41"/>
        <v>0</v>
      </c>
      <c r="W70" s="200" t="e">
        <f t="shared" ref="W70:AD70" si="42">W62</f>
        <v>#VALUE!</v>
      </c>
      <c r="X70" s="200" t="e">
        <f t="shared" si="42"/>
        <v>#VALUE!</v>
      </c>
      <c r="Y70" s="200" t="e">
        <f t="shared" si="42"/>
        <v>#VALUE!</v>
      </c>
      <c r="Z70" s="200" t="e">
        <f t="shared" si="42"/>
        <v>#VALUE!</v>
      </c>
      <c r="AA70" s="200" t="e">
        <f t="shared" si="42"/>
        <v>#VALUE!</v>
      </c>
      <c r="AB70" s="200" t="e">
        <f t="shared" si="42"/>
        <v>#VALUE!</v>
      </c>
      <c r="AC70" s="200" t="e">
        <f t="shared" si="42"/>
        <v>#VALUE!</v>
      </c>
      <c r="AD70" s="200" t="e">
        <f t="shared" si="42"/>
        <v>#VALUE!</v>
      </c>
    </row>
    <row r="71" spans="1:31" ht="27.75" customHeight="1">
      <c r="A71" s="201" t="s">
        <v>264</v>
      </c>
      <c r="B71" s="188">
        <f>-B64</f>
        <v>-144570.49400000001</v>
      </c>
      <c r="C71" s="188">
        <f t="shared" ref="C71:V71" si="43">-C64</f>
        <v>-152377.30067600001</v>
      </c>
      <c r="D71" s="188">
        <f t="shared" si="43"/>
        <v>-90646.165365327353</v>
      </c>
      <c r="E71" s="188">
        <f t="shared" si="43"/>
        <v>-97686.589259168308</v>
      </c>
      <c r="F71" s="188">
        <f t="shared" si="43"/>
        <v>-104955.18718960593</v>
      </c>
      <c r="G71" s="188">
        <f t="shared" si="43"/>
        <v>-112460.62977003088</v>
      </c>
      <c r="H71" s="188">
        <f t="shared" si="43"/>
        <v>-120211.91709714266</v>
      </c>
      <c r="I71" s="188">
        <f t="shared" si="43"/>
        <v>-128218.39127131543</v>
      </c>
      <c r="J71" s="188">
        <f t="shared" si="43"/>
        <v>-132681.58405693769</v>
      </c>
      <c r="K71" s="188">
        <f t="shared" si="43"/>
        <v>-137206.46912099994</v>
      </c>
      <c r="L71" s="188">
        <f t="shared" si="43"/>
        <v>-141794.15692451401</v>
      </c>
      <c r="M71" s="188">
        <f t="shared" si="43"/>
        <v>-146445.77791679013</v>
      </c>
      <c r="N71" s="188">
        <f t="shared" si="43"/>
        <v>-151162.48289522596</v>
      </c>
      <c r="O71" s="188">
        <f t="shared" si="43"/>
        <v>-155945.44337157239</v>
      </c>
      <c r="P71" s="188">
        <f t="shared" si="43"/>
        <v>-160795.85194479185</v>
      </c>
      <c r="Q71" s="188">
        <f t="shared" si="43"/>
        <v>-165714.92268062799</v>
      </c>
      <c r="R71" s="188">
        <f t="shared" si="43"/>
        <v>-170703.89149800793</v>
      </c>
      <c r="S71" s="188">
        <f t="shared" si="43"/>
        <v>-175764.01656239945</v>
      </c>
      <c r="T71" s="188">
        <f t="shared" si="43"/>
        <v>-180896.5786862488</v>
      </c>
      <c r="U71" s="188">
        <f t="shared" si="43"/>
        <v>-186102.88173662615</v>
      </c>
      <c r="V71" s="188">
        <f t="shared" si="43"/>
        <v>-191384.25305020914</v>
      </c>
      <c r="W71" s="200" t="e">
        <f>IF(SUM($B$64:W64)+SUM($A$71:V71)&gt;0,0,SUM($B$64:W64)-SUM($A$71:V71))</f>
        <v>#VALUE!</v>
      </c>
      <c r="X71" s="200" t="e">
        <f>IF(SUM($B$64:X64)+SUM($A$71:W71)&gt;0,0,SUM($B$64:X64)-SUM($A$71:W71))</f>
        <v>#VALUE!</v>
      </c>
      <c r="Y71" s="200" t="e">
        <f>IF(SUM($B$64:Y64)+SUM($A$71:X71)&gt;0,0,SUM($B$64:Y64)-SUM($A$71:X71))</f>
        <v>#VALUE!</v>
      </c>
      <c r="Z71" s="200" t="e">
        <f>IF(SUM($B$64:Z64)+SUM($A$71:Y71)&gt;0,0,SUM($B$64:Z64)-SUM($A$71:Y71))</f>
        <v>#VALUE!</v>
      </c>
      <c r="AA71" s="200" t="e">
        <f>IF(SUM($B$64:AA64)+SUM($A$71:Z71)&gt;0,0,SUM($B$64:AA64)-SUM($A$71:Z71))</f>
        <v>#VALUE!</v>
      </c>
      <c r="AB71" s="200" t="e">
        <f>IF(SUM($B$64:AB64)+SUM($A$71:AA71)&gt;0,0,SUM($B$64:AB64)-SUM($A$71:AA71))</f>
        <v>#VALUE!</v>
      </c>
      <c r="AC71" s="200" t="e">
        <f>IF(SUM($B$64:AC64)+SUM($A$71:AB71)&gt;0,0,SUM($B$64:AC64)-SUM($A$71:AB71))</f>
        <v>#VALUE!</v>
      </c>
      <c r="AD71" s="200" t="e">
        <f>IF(SUM($B$64:AD64)+SUM($A$71:AC71)&gt;0,0,SUM($B$64:AD64)-SUM($A$71:AC71))</f>
        <v>#VALUE!</v>
      </c>
    </row>
    <row r="72" spans="1:31" ht="27.75" customHeight="1">
      <c r="A72" s="201" t="s">
        <v>296</v>
      </c>
      <c r="B72" s="188">
        <f>B51*0.18-3770000*0.18</f>
        <v>-548486.55539999995</v>
      </c>
      <c r="C72" s="188">
        <f>C51*0.18-958000*0.18</f>
        <v>-35300.429391600017</v>
      </c>
      <c r="D72" s="188">
        <f t="shared" ref="D72:V72" si="44">D51*0.18</f>
        <v>142213.73472091078</v>
      </c>
      <c r="E72" s="188">
        <f t="shared" si="44"/>
        <v>147617.8566403054</v>
      </c>
      <c r="F72" s="188">
        <f t="shared" si="44"/>
        <v>153227.33519263702</v>
      </c>
      <c r="G72" s="188">
        <f t="shared" si="44"/>
        <v>159049.97392995722</v>
      </c>
      <c r="H72" s="188">
        <f t="shared" si="44"/>
        <v>165093.8729392956</v>
      </c>
      <c r="I72" s="188">
        <f t="shared" si="44"/>
        <v>171367.44011098886</v>
      </c>
      <c r="J72" s="188">
        <f t="shared" si="44"/>
        <v>174452.05403298663</v>
      </c>
      <c r="K72" s="188">
        <f t="shared" si="44"/>
        <v>177592.19100558042</v>
      </c>
      <c r="L72" s="188">
        <f t="shared" si="44"/>
        <v>180788.85044368086</v>
      </c>
      <c r="M72" s="188">
        <f t="shared" si="44"/>
        <v>184043.04975166713</v>
      </c>
      <c r="N72" s="188">
        <f t="shared" si="44"/>
        <v>187355.82464719712</v>
      </c>
      <c r="O72" s="188">
        <f t="shared" si="44"/>
        <v>190728.22949084669</v>
      </c>
      <c r="P72" s="188">
        <f t="shared" si="44"/>
        <v>194161.33762168192</v>
      </c>
      <c r="Q72" s="188">
        <f t="shared" si="44"/>
        <v>197656.24169887221</v>
      </c>
      <c r="R72" s="188">
        <f t="shared" si="44"/>
        <v>201214.05404945192</v>
      </c>
      <c r="S72" s="188">
        <f t="shared" si="44"/>
        <v>204835.90702234206</v>
      </c>
      <c r="T72" s="188">
        <f t="shared" si="44"/>
        <v>208522.95334874422</v>
      </c>
      <c r="U72" s="188">
        <f t="shared" si="44"/>
        <v>212276.36650902161</v>
      </c>
      <c r="V72" s="188">
        <f t="shared" si="44"/>
        <v>216097.341106184</v>
      </c>
      <c r="W72" s="200">
        <f>IF(((SUM($B$51:W51)+SUM($B$53:W57))+SUM($B$74:W74))&lt;0,((SUM($B$51:W51)+SUM($B$53:W57))+SUM($B$74:W74))*0.18-SUM($A$72:V72),IF(SUM($B$72:V72)&lt;0,0-SUM($B$72:V72),0))</f>
        <v>0</v>
      </c>
      <c r="X72" s="200">
        <f>IF(((SUM($B$51:X51)+SUM($B$53:X57))+SUM($B$74:X74))&lt;0,((SUM($B$51:X51)+SUM($B$53:X57))+SUM($B$74:X74))*0.18-SUM($A$72:W72),IF(SUM($B$72:W72)&lt;0,0-SUM($B$72:W72),0))</f>
        <v>0</v>
      </c>
      <c r="Y72" s="200">
        <f>IF(((SUM($B$51:Y51)+SUM($B$53:Y57))+SUM($B$74:Y74))&lt;0,((SUM($B$51:Y51)+SUM($B$53:Y57))+SUM($B$74:Y74))*0.18-SUM($A$72:X72),IF(SUM($B$72:X72)&lt;0,0-SUM($B$72:X72),0))</f>
        <v>0</v>
      </c>
      <c r="Z72" s="200">
        <f>IF(((SUM($B$51:Z51)+SUM($B$53:Z57))+SUM($B$74:Z74))&lt;0,((SUM($B$51:Z51)+SUM($B$53:Z57))+SUM($B$74:Z74))*0.18-SUM($A$72:Y72),IF(SUM($B$72:Y72)&lt;0,0-SUM($B$72:Y72),0))</f>
        <v>0</v>
      </c>
      <c r="AA72" s="200">
        <f>IF(((SUM($B$51:AA51)+SUM($B$53:AA57))+SUM($B$74:AA74))&lt;0,((SUM($B$51:AA51)+SUM($B$53:AA57))+SUM($B$74:AA74))*0.18-SUM($A$72:Z72),IF(SUM($B$72:Z72)&lt;0,0-SUM($B$72:Z72),0))</f>
        <v>0</v>
      </c>
      <c r="AB72" s="200">
        <f>IF(((SUM($B$51:AB51)+SUM($B$53:AB57))+SUM($B$74:AB74))&lt;0,((SUM($B$51:AB51)+SUM($B$53:AB57))+SUM($B$74:AB74))*0.18-SUM($A$72:AA72),IF(SUM($B$72:AA72)&lt;0,0-SUM($B$72:AA72),0))</f>
        <v>0</v>
      </c>
      <c r="AC72" s="200">
        <f>IF(((SUM($B$51:AC51)+SUM($B$53:AC57))+SUM($B$74:AC74))&lt;0,((SUM($B$51:AC51)+SUM($B$53:AC57))+SUM($B$74:AC74))*0.18-SUM($A$72:AB72),IF(SUM($B$72:AB72)&lt;0,0-SUM($B$72:AB72),0))</f>
        <v>0</v>
      </c>
      <c r="AD72" s="200">
        <f>IF(((SUM($B$51:AD51)+SUM($B$53:AD57))+SUM($B$74:AD74))&lt;0,((SUM($B$51:AD51)+SUM($B$53:AD57))+SUM($B$74:AD74))*0.18-SUM($A$72:AC72),IF(SUM($B$72:AC72)&lt;0,0-SUM($B$72:AC72),0))</f>
        <v>0</v>
      </c>
    </row>
    <row r="73" spans="1:31" ht="27.75" customHeight="1">
      <c r="A73" s="201" t="s">
        <v>297</v>
      </c>
      <c r="B73" s="199">
        <v>0</v>
      </c>
      <c r="C73" s="199">
        <v>0</v>
      </c>
      <c r="D73" s="199">
        <v>0</v>
      </c>
      <c r="E73" s="199">
        <v>0</v>
      </c>
      <c r="F73" s="199">
        <v>0</v>
      </c>
      <c r="G73" s="199">
        <v>0</v>
      </c>
      <c r="H73" s="199">
        <v>0</v>
      </c>
      <c r="I73" s="199">
        <v>0</v>
      </c>
      <c r="J73" s="199">
        <v>0</v>
      </c>
      <c r="K73" s="199">
        <v>0</v>
      </c>
      <c r="L73" s="199">
        <v>0</v>
      </c>
      <c r="M73" s="200">
        <v>0</v>
      </c>
      <c r="N73" s="200">
        <v>0</v>
      </c>
      <c r="O73" s="200">
        <v>0</v>
      </c>
      <c r="P73" s="200">
        <v>0</v>
      </c>
      <c r="Q73" s="200">
        <v>0</v>
      </c>
      <c r="R73" s="200">
        <v>0</v>
      </c>
      <c r="S73" s="200">
        <v>0</v>
      </c>
      <c r="T73" s="200">
        <v>0</v>
      </c>
      <c r="U73" s="200">
        <v>0</v>
      </c>
      <c r="V73" s="200">
        <v>0</v>
      </c>
      <c r="W73" s="200" t="e">
        <f t="shared" ref="W73:AD73" si="45">-(W51-V51)*$B$31</f>
        <v>#VALUE!</v>
      </c>
      <c r="X73" s="200" t="e">
        <f t="shared" si="45"/>
        <v>#VALUE!</v>
      </c>
      <c r="Y73" s="200" t="e">
        <f t="shared" si="45"/>
        <v>#VALUE!</v>
      </c>
      <c r="Z73" s="200" t="e">
        <f t="shared" si="45"/>
        <v>#VALUE!</v>
      </c>
      <c r="AA73" s="200" t="e">
        <f t="shared" si="45"/>
        <v>#VALUE!</v>
      </c>
      <c r="AB73" s="200" t="e">
        <f t="shared" si="45"/>
        <v>#VALUE!</v>
      </c>
      <c r="AC73" s="200" t="e">
        <f t="shared" si="45"/>
        <v>#VALUE!</v>
      </c>
      <c r="AD73" s="200" t="e">
        <f t="shared" si="45"/>
        <v>#VALUE!</v>
      </c>
    </row>
    <row r="74" spans="1:31" ht="27.75" customHeight="1">
      <c r="A74" s="201" t="s">
        <v>298</v>
      </c>
      <c r="B74" s="199">
        <v>-3770000</v>
      </c>
      <c r="C74" s="188">
        <v>-958000</v>
      </c>
      <c r="D74" s="188">
        <v>0</v>
      </c>
      <c r="E74" s="188">
        <v>0</v>
      </c>
      <c r="F74" s="188">
        <v>0</v>
      </c>
      <c r="G74" s="188">
        <v>0</v>
      </c>
      <c r="H74" s="188">
        <v>0</v>
      </c>
      <c r="I74" s="188">
        <v>0</v>
      </c>
      <c r="J74" s="188">
        <v>0</v>
      </c>
      <c r="K74" s="188">
        <v>0</v>
      </c>
      <c r="L74" s="352">
        <v>0</v>
      </c>
      <c r="M74" s="202"/>
      <c r="N74" s="202"/>
      <c r="O74" s="202"/>
      <c r="P74" s="202"/>
      <c r="Q74" s="202"/>
      <c r="R74" s="202"/>
      <c r="S74" s="202"/>
      <c r="T74" s="202"/>
      <c r="U74" s="202"/>
      <c r="V74" s="202"/>
      <c r="W74" s="202"/>
      <c r="X74" s="202"/>
      <c r="Y74" s="202"/>
      <c r="Z74" s="202"/>
      <c r="AA74" s="202"/>
      <c r="AB74" s="202"/>
      <c r="AC74" s="202"/>
      <c r="AD74" s="202"/>
    </row>
    <row r="75" spans="1:31" ht="27.75" customHeight="1">
      <c r="A75" s="201" t="s">
        <v>299</v>
      </c>
      <c r="B75" s="188">
        <v>0</v>
      </c>
      <c r="C75" s="188">
        <v>0</v>
      </c>
      <c r="D75" s="188">
        <v>0</v>
      </c>
      <c r="E75" s="188">
        <v>0</v>
      </c>
      <c r="F75" s="188">
        <v>0</v>
      </c>
      <c r="G75" s="188">
        <v>0</v>
      </c>
      <c r="H75" s="188">
        <v>0</v>
      </c>
      <c r="I75" s="188">
        <v>0</v>
      </c>
      <c r="J75" s="188">
        <v>0</v>
      </c>
      <c r="K75" s="188">
        <v>0</v>
      </c>
      <c r="L75" s="188">
        <v>0</v>
      </c>
      <c r="M75" s="200">
        <f t="shared" ref="M75:V75" si="46">M46-M47</f>
        <v>0</v>
      </c>
      <c r="N75" s="200">
        <f t="shared" si="46"/>
        <v>0</v>
      </c>
      <c r="O75" s="200">
        <f t="shared" si="46"/>
        <v>0</v>
      </c>
      <c r="P75" s="200">
        <f t="shared" si="46"/>
        <v>0</v>
      </c>
      <c r="Q75" s="200">
        <f t="shared" si="46"/>
        <v>0</v>
      </c>
      <c r="R75" s="200">
        <f t="shared" si="46"/>
        <v>0</v>
      </c>
      <c r="S75" s="200">
        <f t="shared" si="46"/>
        <v>0</v>
      </c>
      <c r="T75" s="200">
        <f t="shared" si="46"/>
        <v>0</v>
      </c>
      <c r="U75" s="200">
        <f t="shared" si="46"/>
        <v>0</v>
      </c>
      <c r="V75" s="200">
        <f t="shared" si="46"/>
        <v>0</v>
      </c>
      <c r="W75" s="200">
        <f t="shared" ref="W75:AD75" si="47">W46-W47</f>
        <v>0</v>
      </c>
      <c r="X75" s="200">
        <f t="shared" si="47"/>
        <v>0</v>
      </c>
      <c r="Y75" s="200">
        <f t="shared" si="47"/>
        <v>0</v>
      </c>
      <c r="Z75" s="200">
        <f t="shared" si="47"/>
        <v>0</v>
      </c>
      <c r="AA75" s="200">
        <f t="shared" si="47"/>
        <v>0</v>
      </c>
      <c r="AB75" s="200">
        <f t="shared" si="47"/>
        <v>0</v>
      </c>
      <c r="AC75" s="200">
        <f t="shared" si="47"/>
        <v>0</v>
      </c>
      <c r="AD75" s="200">
        <f t="shared" si="47"/>
        <v>0</v>
      </c>
    </row>
    <row r="76" spans="1:31" s="140" customFormat="1" ht="27.75" customHeight="1">
      <c r="A76" s="203" t="s">
        <v>300</v>
      </c>
      <c r="B76" s="351">
        <f>B68+B69+B71+B72+B74</f>
        <v>-3740204.5794000002</v>
      </c>
      <c r="C76" s="351">
        <f>C68+C69+C71+C72+C74</f>
        <v>-383791.2266875999</v>
      </c>
      <c r="D76" s="351">
        <f t="shared" ref="D76:J76" si="48">D68+D69+D71+D72</f>
        <v>975636.48331914959</v>
      </c>
      <c r="E76" s="351">
        <f t="shared" si="48"/>
        <v>1009202.300813908</v>
      </c>
      <c r="F76" s="351">
        <f t="shared" si="48"/>
        <v>1043886.1710879903</v>
      </c>
      <c r="G76" s="351">
        <f t="shared" si="48"/>
        <v>1079730.58014701</v>
      </c>
      <c r="H76" s="351">
        <f t="shared" si="48"/>
        <v>1116779.6284647959</v>
      </c>
      <c r="I76" s="351">
        <f t="shared" si="48"/>
        <v>1155079.0923331799</v>
      </c>
      <c r="J76" s="351">
        <f t="shared" si="48"/>
        <v>1176016.4773976668</v>
      </c>
      <c r="K76" s="351">
        <f>K68+K69+K71+K72</f>
        <v>1197256.1546265096</v>
      </c>
      <c r="L76" s="351">
        <f>L68+L69+L71+L72</f>
        <v>1218803.5652786663</v>
      </c>
      <c r="M76" s="351">
        <f t="shared" ref="M76:V76" si="49">M68+M69+M71+M72</f>
        <v>1240664.2485557571</v>
      </c>
      <c r="N76" s="351">
        <f t="shared" si="49"/>
        <v>1262843.8433650301</v>
      </c>
      <c r="O76" s="351">
        <f t="shared" si="49"/>
        <v>1285348.0901140659</v>
      </c>
      <c r="P76" s="351">
        <f t="shared" si="49"/>
        <v>1308182.8325377787</v>
      </c>
      <c r="Q76" s="351">
        <f t="shared" si="49"/>
        <v>1331354.0195583135</v>
      </c>
      <c r="R76" s="351">
        <f t="shared" si="49"/>
        <v>1354867.7071784129</v>
      </c>
      <c r="S76" s="351">
        <f t="shared" si="49"/>
        <v>1378730.0604088693</v>
      </c>
      <c r="T76" s="351">
        <f t="shared" si="49"/>
        <v>1402947.3552306688</v>
      </c>
      <c r="U76" s="351">
        <f t="shared" si="49"/>
        <v>1427525.9805924557</v>
      </c>
      <c r="V76" s="351">
        <f t="shared" si="49"/>
        <v>1452472.44044395</v>
      </c>
      <c r="W76" s="198" t="e">
        <f t="shared" ref="W76:AD76" si="50">SUM(W68:W75)</f>
        <v>#VALUE!</v>
      </c>
      <c r="X76" s="198" t="e">
        <f t="shared" si="50"/>
        <v>#VALUE!</v>
      </c>
      <c r="Y76" s="198" t="e">
        <f t="shared" si="50"/>
        <v>#VALUE!</v>
      </c>
      <c r="Z76" s="198" t="e">
        <f t="shared" si="50"/>
        <v>#VALUE!</v>
      </c>
      <c r="AA76" s="198" t="e">
        <f t="shared" si="50"/>
        <v>#VALUE!</v>
      </c>
      <c r="AB76" s="198" t="e">
        <f t="shared" si="50"/>
        <v>#VALUE!</v>
      </c>
      <c r="AC76" s="198" t="e">
        <f t="shared" si="50"/>
        <v>#VALUE!</v>
      </c>
      <c r="AD76" s="198" t="e">
        <f t="shared" si="50"/>
        <v>#VALUE!</v>
      </c>
      <c r="AE76" s="341"/>
    </row>
    <row r="77" spans="1:31" s="140" customFormat="1" ht="27.75" customHeight="1">
      <c r="A77" s="203" t="s">
        <v>301</v>
      </c>
      <c r="B77" s="197">
        <f>B76</f>
        <v>-3740204.5794000002</v>
      </c>
      <c r="C77" s="197">
        <f>B77+C76</f>
        <v>-4123995.8060876001</v>
      </c>
      <c r="D77" s="197">
        <f t="shared" ref="D77:L77" si="51">C77+D76</f>
        <v>-3148359.3227684507</v>
      </c>
      <c r="E77" s="197">
        <f t="shared" si="51"/>
        <v>-2139157.021954543</v>
      </c>
      <c r="F77" s="197">
        <f t="shared" si="51"/>
        <v>-1095270.8508665527</v>
      </c>
      <c r="G77" s="197">
        <f t="shared" si="51"/>
        <v>-15540.270719542634</v>
      </c>
      <c r="H77" s="197">
        <f t="shared" si="51"/>
        <v>1101239.3577452532</v>
      </c>
      <c r="I77" s="197">
        <f t="shared" si="51"/>
        <v>2256318.4500784334</v>
      </c>
      <c r="J77" s="197">
        <f t="shared" si="51"/>
        <v>3432334.9274761002</v>
      </c>
      <c r="K77" s="197">
        <f t="shared" si="51"/>
        <v>4629591.0821026098</v>
      </c>
      <c r="L77" s="197">
        <f t="shared" si="51"/>
        <v>5848394.6473812759</v>
      </c>
      <c r="M77" s="198">
        <f>SUM($B$76:M76)</f>
        <v>7089058.895937033</v>
      </c>
      <c r="N77" s="198">
        <f>SUM($B$76:N76)</f>
        <v>8351902.7393020634</v>
      </c>
      <c r="O77" s="198">
        <f>SUM($B$76:O76)</f>
        <v>9637250.8294161297</v>
      </c>
      <c r="P77" s="198">
        <f>SUM($B$76:P76)</f>
        <v>10945433.661953907</v>
      </c>
      <c r="Q77" s="198">
        <f>SUM($B$76:Q76)</f>
        <v>12276787.681512222</v>
      </c>
      <c r="R77" s="198">
        <f>SUM($B$76:R76)</f>
        <v>13631655.388690636</v>
      </c>
      <c r="S77" s="198">
        <f>SUM($B$76:S76)</f>
        <v>15010385.449099505</v>
      </c>
      <c r="T77" s="198">
        <f>SUM($B$76:T76)</f>
        <v>16413332.804330174</v>
      </c>
      <c r="U77" s="198">
        <f>SUM($B$76:U76)</f>
        <v>17840858.78492263</v>
      </c>
      <c r="V77" s="198">
        <f>SUM($B$76:V76)</f>
        <v>19293331.225366581</v>
      </c>
      <c r="W77" s="198" t="e">
        <f>SUM($B$76:W76)</f>
        <v>#VALUE!</v>
      </c>
      <c r="X77" s="198" t="e">
        <f>SUM($B$76:X76)</f>
        <v>#VALUE!</v>
      </c>
      <c r="Y77" s="198" t="e">
        <f>SUM($B$76:Y76)</f>
        <v>#VALUE!</v>
      </c>
      <c r="Z77" s="198" t="e">
        <f>SUM($B$76:Z76)</f>
        <v>#VALUE!</v>
      </c>
      <c r="AA77" s="198" t="e">
        <f>SUM($B$76:AA76)</f>
        <v>#VALUE!</v>
      </c>
      <c r="AB77" s="198" t="e">
        <f>SUM($B$76:AB76)</f>
        <v>#VALUE!</v>
      </c>
      <c r="AC77" s="198" t="e">
        <f>SUM($B$76:AC76)</f>
        <v>#VALUE!</v>
      </c>
      <c r="AD77" s="198" t="e">
        <f>SUM($B$76:AD76)</f>
        <v>#VALUE!</v>
      </c>
      <c r="AE77" s="341"/>
    </row>
    <row r="78" spans="1:31" ht="27.75" customHeight="1">
      <c r="A78" s="201" t="s">
        <v>302</v>
      </c>
      <c r="B78" s="353">
        <v>1</v>
      </c>
      <c r="C78" s="353">
        <v>0.90910000000000002</v>
      </c>
      <c r="D78" s="354">
        <f>1/(1+0.1)^2</f>
        <v>0.82644628099173545</v>
      </c>
      <c r="E78" s="354">
        <f>1/(1+0.1)^3</f>
        <v>0.75131480090157754</v>
      </c>
      <c r="F78" s="354">
        <f>1/(1+0.1)^4</f>
        <v>0.68301345536507052</v>
      </c>
      <c r="G78" s="354">
        <f>1/(1+0.1)^5</f>
        <v>0.62092132305915493</v>
      </c>
      <c r="H78" s="354">
        <f>1/(1+0.1)^6</f>
        <v>0.56447393005377722</v>
      </c>
      <c r="I78" s="354">
        <f>1/(1+0.1)^7</f>
        <v>0.51315811823070645</v>
      </c>
      <c r="J78" s="354">
        <f>1/(1+0.1)^8</f>
        <v>0.46650738020973315</v>
      </c>
      <c r="K78" s="354">
        <f>1/(1+0.1)^9</f>
        <v>0.42409761837248466</v>
      </c>
      <c r="L78" s="354">
        <f>1/(1+0.1)^10</f>
        <v>0.38554328942953148</v>
      </c>
      <c r="M78" s="354">
        <f>1/(1+0.1)^11</f>
        <v>0.3504938994813922</v>
      </c>
      <c r="N78" s="354">
        <f>1/(1+0.1)^12</f>
        <v>0.31863081771035656</v>
      </c>
      <c r="O78" s="354">
        <f>1/(1+0.1)^13</f>
        <v>0.28966437973668779</v>
      </c>
      <c r="P78" s="354">
        <f>1/(1+0.1)^14</f>
        <v>0.26333125430607973</v>
      </c>
      <c r="Q78" s="354">
        <f>1/(1+0.1)^15</f>
        <v>0.23939204936916339</v>
      </c>
      <c r="R78" s="354">
        <f>1/(1+0.1)^16</f>
        <v>0.21762913579014853</v>
      </c>
      <c r="S78" s="354">
        <f>1/(1+0.1)^17</f>
        <v>0.19784466890013502</v>
      </c>
      <c r="T78" s="354">
        <f>1/(1+0.1)^18</f>
        <v>0.17985878990921364</v>
      </c>
      <c r="U78" s="354">
        <f>1/(1+0.1)^19</f>
        <v>0.16350799082655781</v>
      </c>
      <c r="V78" s="354">
        <f>1/(1+0.1)^20</f>
        <v>0.14864362802414349</v>
      </c>
      <c r="W78" s="208">
        <f t="shared" ref="W78:AD78" si="52">1/POWER((1+$B$36),W67-$E$67)</f>
        <v>0.17985878990921364</v>
      </c>
      <c r="X78" s="208">
        <f t="shared" si="52"/>
        <v>0.16350799082655781</v>
      </c>
      <c r="Y78" s="208">
        <f t="shared" si="52"/>
        <v>0.14864362802414349</v>
      </c>
      <c r="Z78" s="208">
        <f t="shared" si="52"/>
        <v>0.13513057093103953</v>
      </c>
      <c r="AA78" s="208">
        <f t="shared" si="52"/>
        <v>0.12284597357367227</v>
      </c>
      <c r="AB78" s="208">
        <f t="shared" si="52"/>
        <v>0.11167815779424752</v>
      </c>
      <c r="AC78" s="208">
        <f t="shared" si="52"/>
        <v>0.10152559799477048</v>
      </c>
      <c r="AD78" s="208">
        <f t="shared" si="52"/>
        <v>9.2295998177064048E-2</v>
      </c>
    </row>
    <row r="79" spans="1:31" s="140" customFormat="1" ht="27.75" customHeight="1">
      <c r="A79" s="196" t="s">
        <v>303</v>
      </c>
      <c r="B79" s="197">
        <f>B76/(1+0.1)^0</f>
        <v>-3740204.5794000002</v>
      </c>
      <c r="C79" s="197">
        <f>C76/(1+0.1)^1</f>
        <v>-348901.11517054535</v>
      </c>
      <c r="D79" s="197">
        <f>D76/(1+0.1)^2</f>
        <v>806311.14323896647</v>
      </c>
      <c r="E79" s="197">
        <f>E76/(1+0.1)^3</f>
        <v>758228.62570541527</v>
      </c>
      <c r="F79" s="197">
        <f>F76/(1+0.1)^4</f>
        <v>712988.30072262138</v>
      </c>
      <c r="G79" s="197">
        <f>G76/(1+0.1)^5</f>
        <v>670427.74037231039</v>
      </c>
      <c r="H79" s="197">
        <f>H76/(1+0.1)^6</f>
        <v>630392.98588352045</v>
      </c>
      <c r="I79" s="197">
        <f>I76/(1+0.1)^7</f>
        <v>592738.21342932701</v>
      </c>
      <c r="J79" s="197">
        <f>J76/(1+0.1)^8</f>
        <v>548620.36595426442</v>
      </c>
      <c r="K79" s="197">
        <f>K76/(1+0.1)^9</f>
        <v>507753.48375890194</v>
      </c>
      <c r="L79" s="197">
        <f>L76/(1+0.1)^10</f>
        <v>469901.53572597768</v>
      </c>
      <c r="M79" s="197">
        <f t="shared" ref="M79:V79" si="53">M76*M78</f>
        <v>434845.25042345852</v>
      </c>
      <c r="N79" s="197">
        <f t="shared" si="53"/>
        <v>402380.96645188896</v>
      </c>
      <c r="O79" s="197">
        <f t="shared" si="53"/>
        <v>372319.55726862716</v>
      </c>
      <c r="P79" s="197">
        <f t="shared" si="53"/>
        <v>344485.42615385348</v>
      </c>
      <c r="Q79" s="197">
        <f t="shared" si="53"/>
        <v>318715.56717793789</v>
      </c>
      <c r="R79" s="197">
        <f t="shared" si="53"/>
        <v>294858.68822321802</v>
      </c>
      <c r="S79" s="197">
        <f t="shared" si="53"/>
        <v>272774.39230425592</v>
      </c>
      <c r="T79" s="197">
        <f t="shared" si="53"/>
        <v>252332.41361811978</v>
      </c>
      <c r="U79" s="197">
        <f t="shared" si="53"/>
        <v>233411.9049393842</v>
      </c>
      <c r="V79" s="197">
        <f t="shared" si="53"/>
        <v>215900.77315267042</v>
      </c>
      <c r="W79" s="198" t="e">
        <f t="shared" ref="W79:AD79" si="54">W76*W78</f>
        <v>#VALUE!</v>
      </c>
      <c r="X79" s="198" t="e">
        <f t="shared" si="54"/>
        <v>#VALUE!</v>
      </c>
      <c r="Y79" s="198" t="e">
        <f t="shared" si="54"/>
        <v>#VALUE!</v>
      </c>
      <c r="Z79" s="198" t="e">
        <f t="shared" si="54"/>
        <v>#VALUE!</v>
      </c>
      <c r="AA79" s="198" t="e">
        <f t="shared" si="54"/>
        <v>#VALUE!</v>
      </c>
      <c r="AB79" s="198" t="e">
        <f t="shared" si="54"/>
        <v>#VALUE!</v>
      </c>
      <c r="AC79" s="198" t="e">
        <f t="shared" si="54"/>
        <v>#VALUE!</v>
      </c>
      <c r="AD79" s="198" t="e">
        <f t="shared" si="54"/>
        <v>#VALUE!</v>
      </c>
      <c r="AE79" s="341"/>
    </row>
    <row r="80" spans="1:31" s="140" customFormat="1" ht="27.75" customHeight="1">
      <c r="A80" s="196" t="s">
        <v>304</v>
      </c>
      <c r="B80" s="197">
        <f>B74+B79</f>
        <v>-7510204.5794000002</v>
      </c>
      <c r="C80" s="197">
        <f>-$B$17+B79+C79</f>
        <v>-8817105.6945705451</v>
      </c>
      <c r="D80" s="197">
        <f>-$B$17+B79+C79+D79</f>
        <v>-8010794.5513315788</v>
      </c>
      <c r="E80" s="197">
        <f>-$B$17+B79+C79+D79+E79</f>
        <v>-7252565.9256261634</v>
      </c>
      <c r="F80" s="197">
        <f>-$B$17+B79+C79+D79+E79+F79</f>
        <v>-6539577.624903542</v>
      </c>
      <c r="G80" s="197">
        <f>-$B$17+B79+C79+D79+E79+F79+G79</f>
        <v>-5869149.8845312316</v>
      </c>
      <c r="H80" s="197">
        <f>-$B$17+B79+C79+D79+E79+F79+G79+H79</f>
        <v>-5238756.8986477107</v>
      </c>
      <c r="I80" s="197">
        <f>-$B$17+B79+C79+D79+E79+F79+G79+H79+I79</f>
        <v>-4646018.6852183836</v>
      </c>
      <c r="J80" s="197">
        <f>-$B$17+B79+C79+D79+E79+F79+G79+H79+I79+J79</f>
        <v>-4097398.319264119</v>
      </c>
      <c r="K80" s="197">
        <f>-$B$17+B79+C79+D79+E79+F79+G79+H79+I79+J79+K79</f>
        <v>-3589644.8355052173</v>
      </c>
      <c r="L80" s="197">
        <f>-$B$17+B79+C79+D79+E79+F79+G79+H79+I79+J79+K79+L79</f>
        <v>-3119743.2997792396</v>
      </c>
      <c r="M80" s="197">
        <f>-$B$17+B79+C79+D79+E79+F79+G79+H79+I79+J79+K79+L79+M79</f>
        <v>-2684898.0493557812</v>
      </c>
      <c r="N80" s="197">
        <f>-$B$17+B79+C79+D79+E79+F79+G79+H79+I79+J79+K79+L79+M79+N79</f>
        <v>-2282517.0829038923</v>
      </c>
      <c r="O80" s="197">
        <f>-$B$17+B79+C79+D79+E79+F79+G79+H79+I79+J79+K79+L79+M79+N79+O79</f>
        <v>-1910197.525635265</v>
      </c>
      <c r="P80" s="197">
        <f>-$B$17+B79+C79+D79+E79+F79+G79+H79+I79+J79+K79+L79+M79+N79+O79+P79</f>
        <v>-1565712.0994814115</v>
      </c>
      <c r="Q80" s="197">
        <f>-$B$17+B79+C79+D79+E79+F79+G79+H79+I79+J79+K79+L79+M79+N79+O79+P79+Q79</f>
        <v>-1246996.5323034737</v>
      </c>
      <c r="R80" s="197">
        <f>-$B$17+B79+C79+D79+E79+F79+G79+H79+I79+J79+K79+L79+M79+N79+O79+P79+Q79+R79</f>
        <v>-952137.8440802556</v>
      </c>
      <c r="S80" s="197">
        <f>-$B$17+B79+C79+D79+E79+F79+G79+H79+I79+J79+K79+L79+M79+N79+O79+P79+Q79+R79+S79</f>
        <v>-679363.45177599974</v>
      </c>
      <c r="T80" s="197">
        <f>-$B$17+B79+C79+D79+E79+F79+G79+H79+I79+J79+K79+L79+M79+N79+O79+P79+Q79+R79+S79+T79</f>
        <v>-427031.03815787996</v>
      </c>
      <c r="U80" s="197">
        <f>-$B$17+B79+C79+D79+E79+F79+G79+H79+I79+J79+K79+L79+M79+N79+O79+P79+Q79+R79+S79+T79+U79</f>
        <v>-193619.13321849576</v>
      </c>
      <c r="V80" s="197">
        <f>-$B$17+B79+C79+D79+E79+F79+G79+H79+I79+J79+K79+L79+M79+N79+O79+P79+Q79+R79+S79+T79+U79+V79</f>
        <v>22281.639934174658</v>
      </c>
      <c r="W80" s="198" t="e">
        <f>SUM($B$79:W79)</f>
        <v>#VALUE!</v>
      </c>
      <c r="X80" s="198" t="e">
        <f>SUM($B$79:X79)</f>
        <v>#VALUE!</v>
      </c>
      <c r="Y80" s="198" t="e">
        <f>SUM($B$79:Y79)</f>
        <v>#VALUE!</v>
      </c>
      <c r="Z80" s="198" t="e">
        <f>SUM($B$79:Z79)</f>
        <v>#VALUE!</v>
      </c>
      <c r="AA80" s="198" t="e">
        <f>SUM($B$79:AA79)</f>
        <v>#VALUE!</v>
      </c>
      <c r="AB80" s="198" t="e">
        <f>SUM($B$79:AB79)</f>
        <v>#VALUE!</v>
      </c>
      <c r="AC80" s="198" t="e">
        <f>SUM($B$79:AC79)</f>
        <v>#VALUE!</v>
      </c>
      <c r="AD80" s="198" t="e">
        <f>SUM($B$79:AD79)</f>
        <v>#VALUE!</v>
      </c>
      <c r="AE80" s="341"/>
    </row>
    <row r="81" spans="1:31" s="140" customFormat="1" ht="27.75" customHeight="1">
      <c r="A81" s="196" t="s">
        <v>305</v>
      </c>
      <c r="B81" s="355" t="s">
        <v>136</v>
      </c>
      <c r="C81" s="209" t="s">
        <v>136</v>
      </c>
      <c r="D81" s="209" t="s">
        <v>136</v>
      </c>
      <c r="E81" s="209" t="s">
        <v>136</v>
      </c>
      <c r="F81" s="209" t="s">
        <v>136</v>
      </c>
      <c r="G81" s="209" t="s">
        <v>136</v>
      </c>
      <c r="H81" s="209">
        <f>IRR(B79:H79)</f>
        <v>-3.4279128511109147E-2</v>
      </c>
      <c r="I81" s="209">
        <f>IRR(B79:I79)</f>
        <v>4.7049263000298047E-3</v>
      </c>
      <c r="J81" s="209">
        <f>IRR(B79:J79)</f>
        <v>3.1647556236443129E-2</v>
      </c>
      <c r="K81" s="209">
        <f>IRR(B79:K79)</f>
        <v>5.0853086918327441E-2</v>
      </c>
      <c r="L81" s="209">
        <f>IRR(B79:L79)</f>
        <v>6.4881042727004887E-2</v>
      </c>
      <c r="M81" s="209">
        <f>IRR(B79:M79)</f>
        <v>7.5330674766701078E-2</v>
      </c>
      <c r="N81" s="209">
        <f>IRR(B79:N79)</f>
        <v>8.3241328270703269E-2</v>
      </c>
      <c r="O81" s="209">
        <f>IRR(B79:O79)</f>
        <v>8.9310671998328817E-2</v>
      </c>
      <c r="P81" s="209">
        <f>IRR(B79:P79)</f>
        <v>9.401990593822486E-2</v>
      </c>
      <c r="Q81" s="209">
        <f>IRR(B79:Q79)</f>
        <v>9.7708681033359807E-2</v>
      </c>
      <c r="R81" s="209">
        <f>IRR(B79:R79)</f>
        <v>0.10062154607956073</v>
      </c>
      <c r="S81" s="209">
        <f>IRR(B79:S79)</f>
        <v>0.10293763362618369</v>
      </c>
      <c r="T81" s="209">
        <f>IRR(B79:T79)</f>
        <v>0.10479014361081511</v>
      </c>
      <c r="U81" s="209">
        <f>IRR(B79:U79)</f>
        <v>0.10627943314158694</v>
      </c>
      <c r="V81" s="209">
        <f>IRR(B79:V79)</f>
        <v>0.10748199479410249</v>
      </c>
      <c r="W81" s="210">
        <f>IF((ISERR(IRR($B$76:W76))),0,IF(IRR($B$76:W76)&lt;0,0,IRR($B$76:W76)))</f>
        <v>0</v>
      </c>
      <c r="X81" s="210">
        <f>IF((ISERR(IRR($B$76:X76))),0,IF(IRR($B$76:X76)&lt;0,0,IRR($B$76:X76)))</f>
        <v>0</v>
      </c>
      <c r="Y81" s="210">
        <f>IF((ISERR(IRR($B$76:Y76))),0,IF(IRR($B$76:Y76)&lt;0,0,IRR($B$76:Y76)))</f>
        <v>0</v>
      </c>
      <c r="Z81" s="211">
        <f>IF((ISERR(IRR($B$76:Z76))),0,IF(IRR($B$76:Z76)&lt;0,0,IRR($B$76:Z76)))</f>
        <v>0</v>
      </c>
      <c r="AA81" s="210">
        <f>IF((ISERR(IRR($B$76:AA76))),0,IF(IRR($B$76:AA76)&lt;0,0,IRR($B$76:AA76)))</f>
        <v>0</v>
      </c>
      <c r="AB81" s="210">
        <f>IF((ISERR(IRR($B$76:AB76))),0,IF(IRR($B$76:AB76)&lt;0,0,IRR($B$76:AB76)))</f>
        <v>0</v>
      </c>
      <c r="AC81" s="210">
        <f>IF((ISERR(IRR($B$76:AC76))),0,IF(IRR($B$76:AC76)&lt;0,0,IRR($B$76:AC76)))</f>
        <v>0</v>
      </c>
      <c r="AD81" s="210">
        <f>IF((ISERR(IRR($B$76:AD76))),0,IF(IRR($B$76:AD76)&lt;0,0,IRR($B$76:AD76)))</f>
        <v>0</v>
      </c>
      <c r="AE81" s="341"/>
    </row>
    <row r="82" spans="1:31" s="140" customFormat="1" ht="27.75" customHeight="1" thickBot="1">
      <c r="A82" s="196" t="s">
        <v>306</v>
      </c>
      <c r="B82" s="212" t="s">
        <v>136</v>
      </c>
      <c r="C82" s="212" t="s">
        <v>136</v>
      </c>
      <c r="D82" s="212" t="s">
        <v>136</v>
      </c>
      <c r="E82" s="212" t="s">
        <v>136</v>
      </c>
      <c r="F82" s="212" t="s">
        <v>136</v>
      </c>
      <c r="G82" s="212"/>
      <c r="H82" s="216">
        <f>IF(AND(H77&gt;0,G77&lt;0),(H67-(H77/(H77-G77))),0)</f>
        <v>2023.0139152526815</v>
      </c>
      <c r="I82" s="212"/>
      <c r="J82" s="212"/>
      <c r="K82" s="212"/>
      <c r="L82" s="212"/>
      <c r="M82" s="213">
        <f t="shared" ref="M82:V82" si="55">IF(AND(M77&gt;0,L77&lt;0),(M67-(M77/(M77-L77))),0)</f>
        <v>0</v>
      </c>
      <c r="N82" s="213">
        <f t="shared" si="55"/>
        <v>0</v>
      </c>
      <c r="O82" s="213">
        <f t="shared" si="55"/>
        <v>0</v>
      </c>
      <c r="P82" s="213">
        <f t="shared" si="55"/>
        <v>0</v>
      </c>
      <c r="Q82" s="213">
        <f t="shared" si="55"/>
        <v>0</v>
      </c>
      <c r="R82" s="213">
        <f t="shared" si="55"/>
        <v>0</v>
      </c>
      <c r="S82" s="213">
        <f t="shared" si="55"/>
        <v>0</v>
      </c>
      <c r="T82" s="213">
        <f t="shared" si="55"/>
        <v>0</v>
      </c>
      <c r="U82" s="213">
        <f t="shared" si="55"/>
        <v>0</v>
      </c>
      <c r="V82" s="213">
        <f t="shared" si="55"/>
        <v>0</v>
      </c>
      <c r="W82" s="213" t="e">
        <f t="shared" ref="W82:AD82" si="56">IF(AND(W77&gt;0,V77&lt;0),(W67-(W77/(W77-V77))),0)</f>
        <v>#VALUE!</v>
      </c>
      <c r="X82" s="213" t="e">
        <f t="shared" si="56"/>
        <v>#VALUE!</v>
      </c>
      <c r="Y82" s="213" t="e">
        <f t="shared" si="56"/>
        <v>#VALUE!</v>
      </c>
      <c r="Z82" s="213" t="e">
        <f t="shared" si="56"/>
        <v>#VALUE!</v>
      </c>
      <c r="AA82" s="213" t="e">
        <f t="shared" si="56"/>
        <v>#VALUE!</v>
      </c>
      <c r="AB82" s="213" t="e">
        <f t="shared" si="56"/>
        <v>#VALUE!</v>
      </c>
      <c r="AC82" s="213" t="e">
        <f t="shared" si="56"/>
        <v>#VALUE!</v>
      </c>
      <c r="AD82" s="213" t="e">
        <f t="shared" si="56"/>
        <v>#VALUE!</v>
      </c>
      <c r="AE82" s="341"/>
    </row>
    <row r="83" spans="1:31" s="140" customFormat="1" ht="27.75" customHeight="1" thickBot="1">
      <c r="A83" s="214" t="s">
        <v>307</v>
      </c>
      <c r="B83" s="215"/>
      <c r="C83" s="215"/>
      <c r="D83" s="215"/>
      <c r="E83" s="215"/>
      <c r="F83" s="215"/>
      <c r="G83" s="215"/>
      <c r="H83" s="215"/>
      <c r="I83" s="215"/>
      <c r="J83" s="215"/>
      <c r="K83" s="215"/>
      <c r="L83" s="215"/>
      <c r="M83" s="216">
        <f t="shared" ref="M83:V83" si="57">IF(AND(M80&gt;0,L80&lt;0),(M67-(M80/(M80-L80))),0)</f>
        <v>0</v>
      </c>
      <c r="N83" s="216">
        <f t="shared" si="57"/>
        <v>0</v>
      </c>
      <c r="O83" s="216">
        <f t="shared" si="57"/>
        <v>0</v>
      </c>
      <c r="P83" s="216">
        <f t="shared" si="57"/>
        <v>0</v>
      </c>
      <c r="Q83" s="216">
        <f t="shared" si="57"/>
        <v>0</v>
      </c>
      <c r="R83" s="216">
        <f t="shared" si="57"/>
        <v>0</v>
      </c>
      <c r="S83" s="216">
        <f t="shared" si="57"/>
        <v>0</v>
      </c>
      <c r="T83" s="216">
        <f t="shared" si="57"/>
        <v>0</v>
      </c>
      <c r="U83" s="216">
        <f t="shared" si="57"/>
        <v>0</v>
      </c>
      <c r="V83" s="216">
        <f t="shared" si="57"/>
        <v>2037.8967968497343</v>
      </c>
      <c r="W83" s="216" t="e">
        <f t="shared" ref="W83:AD83" si="58">IF(AND(W80&gt;0,V80&lt;0),(W67-(W80/(W80-V80))),0)</f>
        <v>#VALUE!</v>
      </c>
      <c r="X83" s="216" t="e">
        <f t="shared" si="58"/>
        <v>#VALUE!</v>
      </c>
      <c r="Y83" s="216" t="e">
        <f t="shared" si="58"/>
        <v>#VALUE!</v>
      </c>
      <c r="Z83" s="216" t="e">
        <f t="shared" si="58"/>
        <v>#VALUE!</v>
      </c>
      <c r="AA83" s="216" t="e">
        <f t="shared" si="58"/>
        <v>#VALUE!</v>
      </c>
      <c r="AB83" s="216" t="e">
        <f t="shared" si="58"/>
        <v>#VALUE!</v>
      </c>
      <c r="AC83" s="216" t="e">
        <f t="shared" si="58"/>
        <v>#VALUE!</v>
      </c>
      <c r="AD83" s="216" t="e">
        <f t="shared" si="58"/>
        <v>#VALUE!</v>
      </c>
      <c r="AE83" s="341"/>
    </row>
    <row r="85" spans="1:31" ht="27.75" customHeight="1">
      <c r="A85" s="435" t="s">
        <v>308</v>
      </c>
      <c r="B85" s="435"/>
      <c r="C85" s="435"/>
      <c r="D85" s="435"/>
      <c r="E85" s="435"/>
      <c r="F85" s="435"/>
      <c r="G85" s="435"/>
      <c r="H85" s="435"/>
      <c r="I85" s="435"/>
      <c r="J85" s="435"/>
      <c r="K85" s="435"/>
      <c r="L85" s="435"/>
      <c r="M85" s="435"/>
      <c r="N85" s="435"/>
      <c r="O85" s="435"/>
      <c r="P85" s="435"/>
      <c r="Q85" s="435"/>
      <c r="R85" s="217"/>
      <c r="S85" s="218"/>
      <c r="T85" s="218"/>
      <c r="U85" s="218"/>
      <c r="V85" s="218"/>
      <c r="W85" s="218"/>
      <c r="X85" s="218"/>
      <c r="Y85" s="218"/>
      <c r="Z85" s="218"/>
      <c r="AA85" s="218"/>
      <c r="AB85" s="217"/>
      <c r="AC85" s="218"/>
    </row>
    <row r="86" spans="1:31" s="222" customFormat="1" ht="27.75" hidden="1" customHeight="1">
      <c r="A86" s="219" t="s">
        <v>309</v>
      </c>
      <c r="B86" s="220">
        <v>2020</v>
      </c>
      <c r="C86" s="221">
        <f t="shared" ref="C86:I86" si="59">C39</f>
        <v>2019</v>
      </c>
      <c r="D86" s="221">
        <f t="shared" si="59"/>
        <v>2020</v>
      </c>
      <c r="E86" s="221">
        <f t="shared" si="59"/>
        <v>2021</v>
      </c>
      <c r="F86" s="221">
        <f t="shared" si="59"/>
        <v>2022</v>
      </c>
      <c r="G86" s="221">
        <f t="shared" si="59"/>
        <v>2023</v>
      </c>
      <c r="H86" s="221">
        <f t="shared" si="59"/>
        <v>2024</v>
      </c>
      <c r="I86" s="221">
        <f t="shared" si="59"/>
        <v>2025</v>
      </c>
      <c r="J86" s="221">
        <v>2019</v>
      </c>
      <c r="K86" s="221">
        <v>2020</v>
      </c>
      <c r="L86" s="221">
        <v>2021</v>
      </c>
      <c r="M86" s="221">
        <v>2022</v>
      </c>
      <c r="N86" s="221">
        <v>2023</v>
      </c>
      <c r="O86" s="221">
        <v>2024</v>
      </c>
      <c r="P86" s="221">
        <v>2025</v>
      </c>
      <c r="Q86" s="221">
        <v>2026</v>
      </c>
      <c r="R86" s="221">
        <v>2027</v>
      </c>
      <c r="S86" s="221">
        <v>2028</v>
      </c>
      <c r="T86" s="221">
        <v>2029</v>
      </c>
      <c r="U86" s="221">
        <v>2030</v>
      </c>
      <c r="V86" s="221">
        <v>2031</v>
      </c>
      <c r="W86" s="221">
        <v>2032</v>
      </c>
      <c r="X86" s="221">
        <v>2033</v>
      </c>
      <c r="Y86" s="221">
        <v>2034</v>
      </c>
      <c r="Z86" s="221">
        <v>2035</v>
      </c>
      <c r="AA86" s="221">
        <v>2036</v>
      </c>
      <c r="AB86" s="221">
        <v>2037</v>
      </c>
      <c r="AC86" s="221">
        <v>2038</v>
      </c>
      <c r="AD86" s="221">
        <v>2039</v>
      </c>
      <c r="AE86" s="230"/>
    </row>
    <row r="87" spans="1:31" s="222" customFormat="1" ht="27.75" hidden="1" customHeight="1">
      <c r="A87" s="223"/>
      <c r="B87" s="224">
        <v>1</v>
      </c>
      <c r="C87" s="224">
        <v>2</v>
      </c>
      <c r="D87" s="224">
        <v>3</v>
      </c>
      <c r="E87" s="224">
        <v>4</v>
      </c>
      <c r="F87" s="224">
        <v>5</v>
      </c>
      <c r="G87" s="224">
        <v>6</v>
      </c>
      <c r="H87" s="224">
        <v>7</v>
      </c>
      <c r="I87" s="224">
        <v>8</v>
      </c>
      <c r="J87" s="224">
        <v>9</v>
      </c>
      <c r="K87" s="224">
        <v>10</v>
      </c>
      <c r="L87" s="224">
        <v>11</v>
      </c>
      <c r="M87" s="224">
        <v>12</v>
      </c>
      <c r="N87" s="224">
        <v>13</v>
      </c>
      <c r="O87" s="224">
        <v>14</v>
      </c>
      <c r="P87" s="224">
        <v>15</v>
      </c>
      <c r="Q87" s="224">
        <v>16</v>
      </c>
      <c r="R87" s="224">
        <v>17</v>
      </c>
      <c r="S87" s="224">
        <v>18</v>
      </c>
      <c r="T87" s="224">
        <v>19</v>
      </c>
      <c r="U87" s="224">
        <v>20</v>
      </c>
      <c r="V87" s="224">
        <v>21</v>
      </c>
      <c r="W87" s="224">
        <v>22</v>
      </c>
      <c r="X87" s="224">
        <v>23</v>
      </c>
      <c r="Y87" s="224">
        <v>24</v>
      </c>
      <c r="Z87" s="224">
        <v>25</v>
      </c>
      <c r="AA87" s="224">
        <v>26</v>
      </c>
      <c r="AB87" s="224">
        <v>27</v>
      </c>
      <c r="AC87" s="224">
        <v>28</v>
      </c>
      <c r="AD87" s="224">
        <v>29</v>
      </c>
      <c r="AE87" s="230"/>
    </row>
    <row r="88" spans="1:31" s="222" customFormat="1" ht="27.75" hidden="1" customHeight="1">
      <c r="A88" s="223" t="s">
        <v>310</v>
      </c>
      <c r="B88" s="225">
        <v>4.4999999999999998E-2</v>
      </c>
      <c r="C88" s="224"/>
      <c r="D88" s="224"/>
      <c r="E88" s="224"/>
      <c r="F88" s="224"/>
      <c r="G88" s="224"/>
      <c r="H88" s="224"/>
      <c r="I88" s="224"/>
      <c r="J88" s="224"/>
      <c r="K88" s="224"/>
      <c r="AE88" s="230"/>
    </row>
    <row r="89" spans="1:31" s="222" customFormat="1" ht="27.75" hidden="1" customHeight="1">
      <c r="A89" s="223" t="s">
        <v>311</v>
      </c>
      <c r="B89" s="225">
        <v>5.5E-2</v>
      </c>
      <c r="C89" s="224"/>
      <c r="D89" s="224"/>
      <c r="E89" s="224"/>
      <c r="F89" s="224"/>
      <c r="G89" s="224"/>
      <c r="H89" s="224"/>
      <c r="I89" s="224"/>
      <c r="J89" s="224"/>
      <c r="K89" s="224"/>
      <c r="AE89" s="230"/>
    </row>
    <row r="90" spans="1:31" s="222" customFormat="1" ht="27.75" hidden="1" customHeight="1">
      <c r="A90" s="223"/>
      <c r="C90" s="224"/>
      <c r="D90" s="224"/>
      <c r="E90" s="224"/>
      <c r="F90" s="224"/>
      <c r="G90" s="224"/>
      <c r="H90" s="224"/>
      <c r="I90" s="224"/>
      <c r="J90" s="224"/>
      <c r="K90" s="224"/>
      <c r="AE90" s="230"/>
    </row>
    <row r="91" spans="1:31" s="227" customFormat="1" ht="27.75" hidden="1" customHeight="1">
      <c r="A91" s="226">
        <f>SUM(B92:AD92)</f>
        <v>0</v>
      </c>
      <c r="C91" s="226"/>
      <c r="D91" s="226"/>
      <c r="E91" s="226"/>
      <c r="F91" s="226"/>
      <c r="G91" s="226"/>
      <c r="H91" s="226"/>
      <c r="I91" s="226">
        <v>0</v>
      </c>
      <c r="J91" s="226">
        <v>0</v>
      </c>
      <c r="K91" s="226">
        <v>0</v>
      </c>
      <c r="L91" s="226">
        <v>0</v>
      </c>
      <c r="M91" s="228"/>
      <c r="AE91" s="343"/>
    </row>
    <row r="92" spans="1:31" s="227" customFormat="1" ht="27.75" hidden="1" customHeight="1">
      <c r="A92" s="226" t="s">
        <v>312</v>
      </c>
      <c r="B92" s="226">
        <f>B97*1000000</f>
        <v>0</v>
      </c>
      <c r="C92" s="226">
        <f>C97*1000000</f>
        <v>0</v>
      </c>
      <c r="D92" s="226">
        <f>D97*1000000</f>
        <v>0</v>
      </c>
      <c r="E92" s="226">
        <f>E97*1000000</f>
        <v>0</v>
      </c>
      <c r="F92" s="226">
        <f>F97*1000000</f>
        <v>0</v>
      </c>
      <c r="G92" s="226">
        <f t="shared" ref="G92:P92" si="60">G97*1000000</f>
        <v>0</v>
      </c>
      <c r="H92" s="226">
        <f t="shared" si="60"/>
        <v>0</v>
      </c>
      <c r="I92" s="226">
        <f t="shared" si="60"/>
        <v>0</v>
      </c>
      <c r="J92" s="226">
        <f t="shared" si="60"/>
        <v>0</v>
      </c>
      <c r="K92" s="226">
        <f t="shared" si="60"/>
        <v>0</v>
      </c>
      <c r="L92" s="226">
        <f t="shared" si="60"/>
        <v>0</v>
      </c>
      <c r="M92" s="226">
        <f t="shared" si="60"/>
        <v>0</v>
      </c>
      <c r="N92" s="226">
        <f t="shared" si="60"/>
        <v>0</v>
      </c>
      <c r="O92" s="226">
        <f t="shared" si="60"/>
        <v>0</v>
      </c>
      <c r="P92" s="226">
        <f t="shared" si="60"/>
        <v>0</v>
      </c>
      <c r="AE92" s="343"/>
    </row>
    <row r="93" spans="1:31" s="227" customFormat="1" ht="27.75" hidden="1" customHeight="1">
      <c r="A93" s="226" t="s">
        <v>313</v>
      </c>
      <c r="B93" s="226"/>
      <c r="C93" s="226">
        <f>B92*$B$88</f>
        <v>0</v>
      </c>
      <c r="D93" s="226">
        <f>(C92*$B$88+C93)*(1+D40)</f>
        <v>0</v>
      </c>
      <c r="E93" s="226">
        <f t="shared" ref="E93:AD93" si="61">(D92*$B$88+D93)*(1+E40)</f>
        <v>0</v>
      </c>
      <c r="F93" s="226">
        <f t="shared" si="61"/>
        <v>0</v>
      </c>
      <c r="G93" s="226">
        <f t="shared" si="61"/>
        <v>0</v>
      </c>
      <c r="H93" s="226">
        <f t="shared" si="61"/>
        <v>0</v>
      </c>
      <c r="I93" s="226">
        <f t="shared" si="61"/>
        <v>0</v>
      </c>
      <c r="J93" s="226">
        <f t="shared" si="61"/>
        <v>0</v>
      </c>
      <c r="K93" s="226">
        <f t="shared" si="61"/>
        <v>0</v>
      </c>
      <c r="L93" s="226">
        <f t="shared" si="61"/>
        <v>0</v>
      </c>
      <c r="M93" s="226">
        <f t="shared" si="61"/>
        <v>0</v>
      </c>
      <c r="N93" s="226">
        <f t="shared" si="61"/>
        <v>0</v>
      </c>
      <c r="O93" s="226">
        <f t="shared" si="61"/>
        <v>0</v>
      </c>
      <c r="P93" s="226">
        <f t="shared" si="61"/>
        <v>0</v>
      </c>
      <c r="Q93" s="226">
        <f t="shared" si="61"/>
        <v>0</v>
      </c>
      <c r="R93" s="226">
        <f t="shared" si="61"/>
        <v>0</v>
      </c>
      <c r="S93" s="226">
        <f t="shared" si="61"/>
        <v>0</v>
      </c>
      <c r="T93" s="226">
        <f t="shared" si="61"/>
        <v>0</v>
      </c>
      <c r="U93" s="226">
        <f t="shared" si="61"/>
        <v>0</v>
      </c>
      <c r="V93" s="226">
        <f t="shared" si="61"/>
        <v>0</v>
      </c>
      <c r="W93" s="226">
        <f t="shared" si="61"/>
        <v>0</v>
      </c>
      <c r="X93" s="226">
        <f t="shared" si="61"/>
        <v>0</v>
      </c>
      <c r="Y93" s="226">
        <f t="shared" si="61"/>
        <v>0</v>
      </c>
      <c r="Z93" s="226">
        <f t="shared" si="61"/>
        <v>0</v>
      </c>
      <c r="AA93" s="226">
        <f t="shared" si="61"/>
        <v>0</v>
      </c>
      <c r="AB93" s="226">
        <f t="shared" si="61"/>
        <v>0</v>
      </c>
      <c r="AC93" s="226">
        <f t="shared" si="61"/>
        <v>0</v>
      </c>
      <c r="AD93" s="226">
        <f t="shared" si="61"/>
        <v>0</v>
      </c>
      <c r="AE93" s="343"/>
    </row>
    <row r="94" spans="1:31" s="227" customFormat="1" ht="27.75" hidden="1" customHeight="1">
      <c r="A94" s="226">
        <f>SUM(B94:AD94)</f>
        <v>0</v>
      </c>
      <c r="B94" s="226"/>
      <c r="C94" s="226"/>
      <c r="D94" s="226"/>
      <c r="E94" s="226"/>
      <c r="F94" s="226"/>
      <c r="G94" s="226"/>
      <c r="H94" s="226"/>
      <c r="I94" s="226"/>
      <c r="J94" s="226"/>
      <c r="K94" s="226"/>
      <c r="L94" s="226"/>
      <c r="M94" s="228"/>
      <c r="AE94" s="343"/>
    </row>
    <row r="95" spans="1:31" s="229" customFormat="1" ht="27.75" hidden="1" customHeight="1">
      <c r="A95" s="226">
        <f>SUM(B95:AD95)</f>
        <v>0</v>
      </c>
      <c r="B95" s="226"/>
      <c r="C95" s="226">
        <f>B92*$B$89</f>
        <v>0</v>
      </c>
      <c r="D95" s="226">
        <f>(C92*$B$89+C95)*(1+D40)</f>
        <v>0</v>
      </c>
      <c r="E95" s="226">
        <f t="shared" ref="E95:AD95" si="62">(D92*$B$89+D95)*(1+E40)</f>
        <v>0</v>
      </c>
      <c r="F95" s="226">
        <f t="shared" si="62"/>
        <v>0</v>
      </c>
      <c r="G95" s="226">
        <f t="shared" si="62"/>
        <v>0</v>
      </c>
      <c r="H95" s="226">
        <f t="shared" si="62"/>
        <v>0</v>
      </c>
      <c r="I95" s="226">
        <f t="shared" si="62"/>
        <v>0</v>
      </c>
      <c r="J95" s="226">
        <f t="shared" si="62"/>
        <v>0</v>
      </c>
      <c r="K95" s="226">
        <f t="shared" si="62"/>
        <v>0</v>
      </c>
      <c r="L95" s="226">
        <f t="shared" si="62"/>
        <v>0</v>
      </c>
      <c r="M95" s="226">
        <f t="shared" si="62"/>
        <v>0</v>
      </c>
      <c r="N95" s="226">
        <f t="shared" si="62"/>
        <v>0</v>
      </c>
      <c r="O95" s="226">
        <f t="shared" si="62"/>
        <v>0</v>
      </c>
      <c r="P95" s="226">
        <f t="shared" si="62"/>
        <v>0</v>
      </c>
      <c r="Q95" s="226">
        <f t="shared" si="62"/>
        <v>0</v>
      </c>
      <c r="R95" s="226">
        <f t="shared" si="62"/>
        <v>0</v>
      </c>
      <c r="S95" s="226">
        <f t="shared" si="62"/>
        <v>0</v>
      </c>
      <c r="T95" s="226">
        <f t="shared" si="62"/>
        <v>0</v>
      </c>
      <c r="U95" s="226">
        <f t="shared" si="62"/>
        <v>0</v>
      </c>
      <c r="V95" s="226">
        <f t="shared" si="62"/>
        <v>0</v>
      </c>
      <c r="W95" s="226">
        <f t="shared" si="62"/>
        <v>0</v>
      </c>
      <c r="X95" s="226">
        <f t="shared" si="62"/>
        <v>0</v>
      </c>
      <c r="Y95" s="226">
        <f t="shared" si="62"/>
        <v>0</v>
      </c>
      <c r="Z95" s="226">
        <f t="shared" si="62"/>
        <v>0</v>
      </c>
      <c r="AA95" s="226">
        <f t="shared" si="62"/>
        <v>0</v>
      </c>
      <c r="AB95" s="226">
        <f t="shared" si="62"/>
        <v>0</v>
      </c>
      <c r="AC95" s="226">
        <f t="shared" si="62"/>
        <v>0</v>
      </c>
      <c r="AD95" s="226">
        <f t="shared" si="62"/>
        <v>0</v>
      </c>
      <c r="AE95" s="344"/>
    </row>
    <row r="96" spans="1:31" s="222" customFormat="1" ht="27.75" hidden="1" customHeight="1">
      <c r="A96" s="230">
        <f t="shared" ref="A96:I96" si="63">A91*1.18</f>
        <v>0</v>
      </c>
      <c r="B96" s="230">
        <f>B92*1.18</f>
        <v>0</v>
      </c>
      <c r="C96" s="230">
        <f t="shared" si="63"/>
        <v>0</v>
      </c>
      <c r="D96" s="230">
        <f t="shared" si="63"/>
        <v>0</v>
      </c>
      <c r="E96" s="230">
        <f t="shared" si="63"/>
        <v>0</v>
      </c>
      <c r="F96" s="230">
        <f t="shared" si="63"/>
        <v>0</v>
      </c>
      <c r="G96" s="230">
        <f t="shared" si="63"/>
        <v>0</v>
      </c>
      <c r="H96" s="230">
        <f t="shared" si="63"/>
        <v>0</v>
      </c>
      <c r="I96" s="230">
        <f t="shared" si="63"/>
        <v>0</v>
      </c>
      <c r="AE96" s="230"/>
    </row>
    <row r="97" spans="2:31" s="227" customFormat="1" ht="27.75" hidden="1" customHeight="1">
      <c r="B97" s="231"/>
      <c r="C97" s="231"/>
      <c r="D97" s="231"/>
      <c r="E97" s="231"/>
      <c r="F97" s="231"/>
      <c r="G97" s="232"/>
      <c r="H97" s="232"/>
      <c r="I97" s="232"/>
      <c r="AE97" s="343"/>
    </row>
    <row r="98" spans="2:31" ht="27.75" hidden="1" customHeight="1"/>
    <row r="99" spans="2:31" ht="39.75" hidden="1" customHeight="1">
      <c r="B99" s="233" t="s">
        <v>314</v>
      </c>
      <c r="C99" s="233" t="s">
        <v>315</v>
      </c>
      <c r="D99" s="233" t="s">
        <v>316</v>
      </c>
      <c r="E99" s="233" t="s">
        <v>317</v>
      </c>
    </row>
    <row r="100" spans="2:31" ht="27.75" hidden="1" customHeight="1">
      <c r="B100" s="234">
        <f>F22/1000000</f>
        <v>2.2281639934174657E-2</v>
      </c>
      <c r="C100" s="235">
        <f>AD81</f>
        <v>0</v>
      </c>
      <c r="D100" s="236">
        <f>F20</f>
        <v>3.0139152526814996</v>
      </c>
      <c r="E100" s="236">
        <f>F21</f>
        <v>17.896796849734301</v>
      </c>
    </row>
    <row r="101" spans="2:31" ht="27.75" customHeight="1">
      <c r="B101" s="237"/>
    </row>
    <row r="102" spans="2:31" ht="27.75" customHeight="1">
      <c r="B102" s="237"/>
    </row>
    <row r="103" spans="2:31" ht="27.75" customHeight="1">
      <c r="B103" s="237"/>
    </row>
  </sheetData>
  <mergeCells count="24">
    <mergeCell ref="A6:AD6"/>
    <mergeCell ref="AE6:AR6"/>
    <mergeCell ref="A1:AD1"/>
    <mergeCell ref="A3:AD3"/>
    <mergeCell ref="AE3:AR3"/>
    <mergeCell ref="A5:AD5"/>
    <mergeCell ref="AE5:AR5"/>
    <mergeCell ref="J19:L19"/>
    <mergeCell ref="A8:AD8"/>
    <mergeCell ref="AE8:AR8"/>
    <mergeCell ref="A9:AD9"/>
    <mergeCell ref="AE9:AR9"/>
    <mergeCell ref="A11:AD11"/>
    <mergeCell ref="AE11:AR11"/>
    <mergeCell ref="A12:AD12"/>
    <mergeCell ref="AE12:AR12"/>
    <mergeCell ref="A14:AD14"/>
    <mergeCell ref="AE14:AR14"/>
    <mergeCell ref="J17:N17"/>
    <mergeCell ref="D20:E20"/>
    <mergeCell ref="D21:E21"/>
    <mergeCell ref="D22:E22"/>
    <mergeCell ref="D23:E23"/>
    <mergeCell ref="A85:Q85"/>
  </mergeCells>
  <conditionalFormatting sqref="V23:V27 T23:T24 B37:B38 B33:B34 B60:AD60 W23:W28 L2:M2 A1 O2:V2 L16 N16 L10:M10 O10 D13:M13 Q10 S10:V10 O4:V4 A4:M4 L7:M7 O7:V7 S13:V13 Q13 O13">
    <cfRule type="cellIs" dxfId="47" priority="25" stopIfTrue="1" operator="equal">
      <formula>0</formula>
    </cfRule>
  </conditionalFormatting>
  <conditionalFormatting sqref="D10:K10">
    <cfRule type="cellIs" dxfId="46" priority="24" stopIfTrue="1" operator="equal">
      <formula>0</formula>
    </cfRule>
  </conditionalFormatting>
  <conditionalFormatting sqref="R10 R13">
    <cfRule type="cellIs" dxfId="45" priority="22" stopIfTrue="1" operator="equal">
      <formula>0</formula>
    </cfRule>
  </conditionalFormatting>
  <conditionalFormatting sqref="N18:N19">
    <cfRule type="cellIs" dxfId="44" priority="23" stopIfTrue="1" operator="equal">
      <formula>0</formula>
    </cfRule>
  </conditionalFormatting>
  <conditionalFormatting sqref="B40:AD40">
    <cfRule type="cellIs" dxfId="43" priority="21" stopIfTrue="1" operator="equal">
      <formula>0</formula>
    </cfRule>
  </conditionalFormatting>
  <conditionalFormatting sqref="A3 AE3">
    <cfRule type="cellIs" dxfId="42" priority="20" stopIfTrue="1" operator="equal">
      <formula>0</formula>
    </cfRule>
  </conditionalFormatting>
  <conditionalFormatting sqref="A5 AE5">
    <cfRule type="cellIs" dxfId="41" priority="19" stopIfTrue="1" operator="equal">
      <formula>0</formula>
    </cfRule>
  </conditionalFormatting>
  <conditionalFormatting sqref="A6 AE6">
    <cfRule type="cellIs" dxfId="40" priority="18" stopIfTrue="1" operator="equal">
      <formula>0</formula>
    </cfRule>
  </conditionalFormatting>
  <conditionalFormatting sqref="A8 AE8">
    <cfRule type="cellIs" dxfId="39" priority="17" stopIfTrue="1" operator="equal">
      <formula>0</formula>
    </cfRule>
  </conditionalFormatting>
  <conditionalFormatting sqref="A9 AE9">
    <cfRule type="cellIs" dxfId="38" priority="16" stopIfTrue="1" operator="equal">
      <formula>0</formula>
    </cfRule>
  </conditionalFormatting>
  <conditionalFormatting sqref="AE11">
    <cfRule type="cellIs" dxfId="37" priority="15" stopIfTrue="1" operator="equal">
      <formula>0</formula>
    </cfRule>
  </conditionalFormatting>
  <conditionalFormatting sqref="A12 AE12">
    <cfRule type="cellIs" dxfId="36" priority="14" stopIfTrue="1" operator="equal">
      <formula>0</formula>
    </cfRule>
  </conditionalFormatting>
  <conditionalFormatting sqref="A14 AE14">
    <cfRule type="cellIs" dxfId="35" priority="13" stopIfTrue="1" operator="equal">
      <formula>0</formula>
    </cfRule>
  </conditionalFormatting>
  <conditionalFormatting sqref="A11">
    <cfRule type="cellIs" dxfId="34" priority="12" stopIfTrue="1" operator="equal">
      <formula>0</formula>
    </cfRule>
  </conditionalFormatting>
  <conditionalFormatting sqref="AE3">
    <cfRule type="cellIs" dxfId="33" priority="11" stopIfTrue="1" operator="equal">
      <formula>0</formula>
    </cfRule>
  </conditionalFormatting>
  <conditionalFormatting sqref="AE5">
    <cfRule type="cellIs" dxfId="32" priority="10" stopIfTrue="1" operator="equal">
      <formula>0</formula>
    </cfRule>
  </conditionalFormatting>
  <conditionalFormatting sqref="AE6">
    <cfRule type="cellIs" dxfId="31" priority="9" stopIfTrue="1" operator="equal">
      <formula>0</formula>
    </cfRule>
  </conditionalFormatting>
  <conditionalFormatting sqref="AE8">
    <cfRule type="cellIs" dxfId="30" priority="8" stopIfTrue="1" operator="equal">
      <formula>0</formula>
    </cfRule>
  </conditionalFormatting>
  <conditionalFormatting sqref="AE9">
    <cfRule type="cellIs" dxfId="29" priority="7" stopIfTrue="1" operator="equal">
      <formula>0</formula>
    </cfRule>
  </conditionalFormatting>
  <conditionalFormatting sqref="AE11">
    <cfRule type="cellIs" dxfId="28" priority="6" stopIfTrue="1" operator="equal">
      <formula>0</formula>
    </cfRule>
  </conditionalFormatting>
  <conditionalFormatting sqref="AE12">
    <cfRule type="cellIs" dxfId="27" priority="5" stopIfTrue="1" operator="equal">
      <formula>0</formula>
    </cfRule>
  </conditionalFormatting>
  <conditionalFormatting sqref="AE14">
    <cfRule type="cellIs" dxfId="26" priority="4" stopIfTrue="1" operator="equal">
      <formula>0</formula>
    </cfRule>
  </conditionalFormatting>
  <conditionalFormatting sqref="B37:B38 B33:B34">
    <cfRule type="cellIs" dxfId="25" priority="3" stopIfTrue="1" operator="equal">
      <formula>0</formula>
    </cfRule>
  </conditionalFormatting>
  <conditionalFormatting sqref="B40:V40">
    <cfRule type="cellIs" dxfId="24" priority="2" stopIfTrue="1" operator="equal">
      <formula>0</formula>
    </cfRule>
  </conditionalFormatting>
  <conditionalFormatting sqref="B60:V60">
    <cfRule type="cellIs" dxfId="23" priority="1" stopIfTrue="1" operator="equal">
      <formula>0</formula>
    </cfRule>
  </conditionalFormatting>
  <pageMargins left="0.78740157480314965" right="0.15748031496062992" top="0.19685039370078741" bottom="0.15748031496062992" header="0" footer="0"/>
  <pageSetup paperSize="9" scale="27" fitToWidth="2" orientation="landscape" r:id="rId1"/>
  <headerFooter alignWithMargins="0"/>
  <colBreaks count="1" manualBreakCount="1">
    <brk id="18" max="99" man="1"/>
  </colBreaks>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1" zoomScale="85" zoomScaleSheetLayoutView="85" workbookViewId="0">
      <selection activeCell="I31" sqref="I31"/>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88" t="str">
        <f>' 1. паспорт местополож'!A1:C1</f>
        <v>Год раскрытия информации: 2019 год</v>
      </c>
      <c r="B1" s="388"/>
      <c r="C1" s="388"/>
      <c r="D1" s="388"/>
      <c r="E1" s="388"/>
      <c r="F1" s="388"/>
      <c r="G1" s="388"/>
      <c r="H1" s="388"/>
      <c r="I1" s="388"/>
      <c r="J1" s="388"/>
      <c r="K1" s="388"/>
      <c r="L1" s="388"/>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391" t="s">
        <v>9</v>
      </c>
      <c r="B3" s="391"/>
      <c r="C3" s="391"/>
      <c r="D3" s="391"/>
      <c r="E3" s="391"/>
      <c r="F3" s="391"/>
      <c r="G3" s="391"/>
      <c r="H3" s="391"/>
      <c r="I3" s="391"/>
      <c r="J3" s="391"/>
      <c r="K3" s="391"/>
      <c r="L3" s="391"/>
    </row>
    <row r="4" spans="1:44">
      <c r="A4" s="391"/>
      <c r="B4" s="391"/>
      <c r="C4" s="391"/>
      <c r="D4" s="391"/>
      <c r="E4" s="391"/>
      <c r="F4" s="391"/>
      <c r="G4" s="391"/>
      <c r="H4" s="391"/>
      <c r="I4" s="391"/>
      <c r="J4" s="391"/>
      <c r="K4" s="391"/>
      <c r="L4" s="391"/>
    </row>
    <row r="5" spans="1:44">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row>
    <row r="6" spans="1:44">
      <c r="A6" s="389" t="s">
        <v>8</v>
      </c>
      <c r="B6" s="389"/>
      <c r="C6" s="389"/>
      <c r="D6" s="389"/>
      <c r="E6" s="389"/>
      <c r="F6" s="389"/>
      <c r="G6" s="389"/>
      <c r="H6" s="389"/>
      <c r="I6" s="389"/>
      <c r="J6" s="389"/>
      <c r="K6" s="389"/>
      <c r="L6" s="389"/>
    </row>
    <row r="7" spans="1:44">
      <c r="A7" s="391"/>
      <c r="B7" s="391"/>
      <c r="C7" s="391"/>
      <c r="D7" s="391"/>
      <c r="E7" s="391"/>
      <c r="F7" s="391"/>
      <c r="G7" s="391"/>
      <c r="H7" s="391"/>
      <c r="I7" s="391"/>
      <c r="J7" s="391"/>
      <c r="K7" s="391"/>
      <c r="L7" s="391"/>
    </row>
    <row r="8" spans="1:44">
      <c r="A8" s="395" t="str">
        <f>' 1. паспорт местополож'!A8:C8</f>
        <v>J_ДВОСТ-149</v>
      </c>
      <c r="B8" s="395"/>
      <c r="C8" s="395"/>
      <c r="D8" s="395"/>
      <c r="E8" s="395"/>
      <c r="F8" s="395"/>
      <c r="G8" s="395"/>
      <c r="H8" s="395"/>
      <c r="I8" s="395"/>
      <c r="J8" s="395"/>
      <c r="K8" s="395"/>
      <c r="L8" s="395"/>
    </row>
    <row r="9" spans="1:44">
      <c r="A9" s="389" t="s">
        <v>7</v>
      </c>
      <c r="B9" s="389"/>
      <c r="C9" s="389"/>
      <c r="D9" s="389"/>
      <c r="E9" s="389"/>
      <c r="F9" s="389"/>
      <c r="G9" s="389"/>
      <c r="H9" s="389"/>
      <c r="I9" s="389"/>
      <c r="J9" s="389"/>
      <c r="K9" s="389"/>
      <c r="L9" s="389"/>
    </row>
    <row r="10" spans="1:44">
      <c r="A10" s="402"/>
      <c r="B10" s="402"/>
      <c r="C10" s="402"/>
      <c r="D10" s="402"/>
      <c r="E10" s="402"/>
      <c r="F10" s="402"/>
      <c r="G10" s="402"/>
      <c r="H10" s="402"/>
      <c r="I10" s="402"/>
      <c r="J10" s="402"/>
      <c r="K10" s="402"/>
      <c r="L10" s="402"/>
    </row>
    <row r="11" spans="1:44">
      <c r="A11" s="395" t="str">
        <f>' 1. паспорт местополож'!A11:C11</f>
        <v xml:space="preserve">Техническое перевооружение объекта "Оборудование кТП-15" ТП-15. </v>
      </c>
      <c r="B11" s="395"/>
      <c r="C11" s="395"/>
      <c r="D11" s="395"/>
      <c r="E11" s="395"/>
      <c r="F11" s="395"/>
      <c r="G11" s="395"/>
      <c r="H11" s="395"/>
      <c r="I11" s="395"/>
      <c r="J11" s="395"/>
      <c r="K11" s="395"/>
      <c r="L11" s="395"/>
    </row>
    <row r="12" spans="1:44">
      <c r="A12" s="389" t="s">
        <v>5</v>
      </c>
      <c r="B12" s="389"/>
      <c r="C12" s="389"/>
      <c r="D12" s="389"/>
      <c r="E12" s="389"/>
      <c r="F12" s="389"/>
      <c r="G12" s="389"/>
      <c r="H12" s="389"/>
      <c r="I12" s="389"/>
      <c r="J12" s="389"/>
      <c r="K12" s="389"/>
      <c r="L12" s="389"/>
    </row>
    <row r="13" spans="1:44" ht="15.75" customHeight="1">
      <c r="L13" s="105"/>
    </row>
    <row r="14" spans="1:44" ht="27.75" customHeight="1">
      <c r="K14" s="48"/>
    </row>
    <row r="15" spans="1:44" ht="15.75" customHeight="1">
      <c r="A15" s="443" t="s">
        <v>204</v>
      </c>
      <c r="B15" s="443"/>
      <c r="C15" s="443"/>
      <c r="D15" s="443"/>
      <c r="E15" s="443"/>
      <c r="F15" s="443"/>
      <c r="G15" s="443"/>
      <c r="H15" s="443"/>
      <c r="I15" s="443"/>
      <c r="J15" s="443"/>
      <c r="K15" s="443"/>
      <c r="L15" s="443"/>
    </row>
    <row r="16" spans="1:44">
      <c r="A16" s="106"/>
      <c r="B16" s="106"/>
      <c r="C16" s="47"/>
      <c r="D16" s="47"/>
      <c r="E16" s="47"/>
      <c r="F16" s="47"/>
      <c r="G16" s="47"/>
      <c r="H16" s="47"/>
      <c r="I16" s="47"/>
      <c r="J16" s="47"/>
      <c r="K16" s="47"/>
      <c r="L16" s="47"/>
    </row>
    <row r="17" spans="1:12" ht="28.5" customHeight="1">
      <c r="A17" s="441" t="s">
        <v>115</v>
      </c>
      <c r="B17" s="441" t="s">
        <v>114</v>
      </c>
      <c r="C17" s="448" t="s">
        <v>143</v>
      </c>
      <c r="D17" s="448"/>
      <c r="E17" s="448"/>
      <c r="F17" s="448"/>
      <c r="G17" s="448"/>
      <c r="H17" s="448"/>
      <c r="I17" s="442" t="s">
        <v>113</v>
      </c>
      <c r="J17" s="445" t="s">
        <v>145</v>
      </c>
      <c r="K17" s="441" t="s">
        <v>112</v>
      </c>
      <c r="L17" s="444" t="s">
        <v>144</v>
      </c>
    </row>
    <row r="18" spans="1:12" ht="58.5" customHeight="1">
      <c r="A18" s="441"/>
      <c r="B18" s="441"/>
      <c r="C18" s="449" t="s">
        <v>1</v>
      </c>
      <c r="D18" s="449"/>
      <c r="E18" s="56"/>
      <c r="F18" s="57"/>
      <c r="G18" s="450" t="s">
        <v>0</v>
      </c>
      <c r="H18" s="451"/>
      <c r="I18" s="442"/>
      <c r="J18" s="446"/>
      <c r="K18" s="441"/>
      <c r="L18" s="444"/>
    </row>
    <row r="19" spans="1:12" ht="47.25">
      <c r="A19" s="441"/>
      <c r="B19" s="441"/>
      <c r="C19" s="46" t="s">
        <v>111</v>
      </c>
      <c r="D19" s="46" t="s">
        <v>110</v>
      </c>
      <c r="E19" s="46" t="s">
        <v>111</v>
      </c>
      <c r="F19" s="46" t="s">
        <v>110</v>
      </c>
      <c r="G19" s="46" t="s">
        <v>111</v>
      </c>
      <c r="H19" s="46" t="s">
        <v>110</v>
      </c>
      <c r="I19" s="442"/>
      <c r="J19" s="447"/>
      <c r="K19" s="441"/>
      <c r="L19" s="444"/>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244</v>
      </c>
      <c r="D21" s="41" t="s">
        <v>244</v>
      </c>
      <c r="E21" s="41" t="s">
        <v>244</v>
      </c>
      <c r="F21" s="41" t="s">
        <v>244</v>
      </c>
      <c r="G21" s="41" t="s">
        <v>244</v>
      </c>
      <c r="H21" s="41" t="s">
        <v>244</v>
      </c>
      <c r="I21" s="41" t="s">
        <v>244</v>
      </c>
      <c r="J21" s="41" t="s">
        <v>244</v>
      </c>
      <c r="K21" s="41" t="s">
        <v>244</v>
      </c>
      <c r="L21" s="41" t="s">
        <v>244</v>
      </c>
    </row>
    <row r="22" spans="1:12">
      <c r="A22" s="43" t="s">
        <v>108</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107</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106</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105</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104</v>
      </c>
      <c r="B27" s="42" t="s">
        <v>149</v>
      </c>
      <c r="C27" s="381">
        <v>44197</v>
      </c>
      <c r="D27" s="381">
        <v>44561</v>
      </c>
      <c r="E27" s="41" t="s">
        <v>244</v>
      </c>
      <c r="F27" s="41" t="s">
        <v>244</v>
      </c>
      <c r="G27" s="41" t="s">
        <v>244</v>
      </c>
      <c r="H27" s="41" t="s">
        <v>244</v>
      </c>
      <c r="I27" s="41" t="s">
        <v>244</v>
      </c>
      <c r="J27" s="41" t="s">
        <v>244</v>
      </c>
      <c r="K27" s="41" t="s">
        <v>244</v>
      </c>
      <c r="L27" s="41" t="s">
        <v>244</v>
      </c>
    </row>
    <row r="28" spans="1:12" s="39" customFormat="1">
      <c r="A28" s="43" t="s">
        <v>102</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103</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101</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100</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99</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98</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97</v>
      </c>
      <c r="B39" s="42" t="s">
        <v>95</v>
      </c>
      <c r="C39" s="41" t="s">
        <v>244</v>
      </c>
      <c r="D39" s="41" t="s">
        <v>244</v>
      </c>
      <c r="E39" s="41" t="s">
        <v>244</v>
      </c>
      <c r="F39" s="41" t="s">
        <v>244</v>
      </c>
      <c r="G39" s="41" t="s">
        <v>244</v>
      </c>
      <c r="H39" s="41" t="s">
        <v>244</v>
      </c>
      <c r="I39" s="41" t="s">
        <v>244</v>
      </c>
      <c r="J39" s="41" t="s">
        <v>244</v>
      </c>
      <c r="K39" s="41" t="s">
        <v>244</v>
      </c>
      <c r="L39" s="41" t="s">
        <v>244</v>
      </c>
    </row>
    <row r="40" spans="1:12">
      <c r="A40" s="43" t="s">
        <v>96</v>
      </c>
      <c r="B40" s="42" t="s">
        <v>93</v>
      </c>
      <c r="C40" s="41" t="s">
        <v>244</v>
      </c>
      <c r="D40" s="41" t="s">
        <v>244</v>
      </c>
      <c r="E40" s="41" t="s">
        <v>244</v>
      </c>
      <c r="F40" s="41" t="s">
        <v>244</v>
      </c>
      <c r="G40" s="41" t="s">
        <v>244</v>
      </c>
      <c r="H40" s="41" t="s">
        <v>244</v>
      </c>
      <c r="I40" s="41" t="s">
        <v>244</v>
      </c>
      <c r="J40" s="41" t="s">
        <v>244</v>
      </c>
      <c r="K40" s="41" t="s">
        <v>244</v>
      </c>
      <c r="L40" s="41" t="s">
        <v>244</v>
      </c>
    </row>
    <row r="41" spans="1:12" ht="31.5">
      <c r="A41" s="43" t="s">
        <v>94</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92</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90</v>
      </c>
      <c r="B43" s="42" t="s">
        <v>91</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89</v>
      </c>
      <c r="C44" s="41" t="s">
        <v>244</v>
      </c>
      <c r="D44" s="41" t="s">
        <v>244</v>
      </c>
      <c r="E44" s="41" t="s">
        <v>244</v>
      </c>
      <c r="F44" s="41" t="s">
        <v>244</v>
      </c>
      <c r="G44" s="41" t="s">
        <v>244</v>
      </c>
      <c r="H44" s="41" t="s">
        <v>244</v>
      </c>
      <c r="I44" s="41" t="s">
        <v>244</v>
      </c>
      <c r="J44" s="41" t="s">
        <v>244</v>
      </c>
      <c r="K44" s="41" t="s">
        <v>244</v>
      </c>
      <c r="L44" s="41" t="s">
        <v>244</v>
      </c>
    </row>
    <row r="45" spans="1:12">
      <c r="A45" s="43">
        <v>4</v>
      </c>
      <c r="B45" s="42" t="s">
        <v>87</v>
      </c>
      <c r="C45" s="41" t="s">
        <v>244</v>
      </c>
      <c r="D45" s="41" t="s">
        <v>244</v>
      </c>
      <c r="E45" s="41" t="s">
        <v>244</v>
      </c>
      <c r="F45" s="41" t="s">
        <v>244</v>
      </c>
      <c r="G45" s="41" t="s">
        <v>244</v>
      </c>
      <c r="H45" s="41" t="s">
        <v>244</v>
      </c>
      <c r="I45" s="41" t="s">
        <v>244</v>
      </c>
      <c r="J45" s="41" t="s">
        <v>244</v>
      </c>
      <c r="K45" s="41" t="s">
        <v>244</v>
      </c>
      <c r="L45" s="41" t="s">
        <v>244</v>
      </c>
    </row>
    <row r="46" spans="1:12" ht="31.5">
      <c r="A46" s="43" t="s">
        <v>88</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86</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84</v>
      </c>
      <c r="B48" s="42" t="s">
        <v>85</v>
      </c>
      <c r="C48" s="41" t="s">
        <v>244</v>
      </c>
      <c r="D48" s="41" t="s">
        <v>244</v>
      </c>
      <c r="E48" s="41" t="s">
        <v>244</v>
      </c>
      <c r="F48" s="41" t="s">
        <v>244</v>
      </c>
      <c r="G48" s="41" t="s">
        <v>244</v>
      </c>
      <c r="H48" s="41" t="s">
        <v>244</v>
      </c>
      <c r="I48" s="41" t="s">
        <v>244</v>
      </c>
      <c r="J48" s="41" t="s">
        <v>244</v>
      </c>
      <c r="K48" s="41" t="s">
        <v>244</v>
      </c>
      <c r="L48" s="41" t="s">
        <v>244</v>
      </c>
    </row>
    <row r="49" spans="1:12">
      <c r="A49" s="43" t="s">
        <v>82</v>
      </c>
      <c r="B49" s="58"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83</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19</vt:i4>
      </vt:variant>
    </vt:vector>
  </HeadingPairs>
  <TitlesOfParts>
    <vt:vector size="33"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EE_ProtasovaIV</cp:lastModifiedBy>
  <cp:lastPrinted>2016-07-25T05:28:15Z</cp:lastPrinted>
  <dcterms:created xsi:type="dcterms:W3CDTF">2015-08-16T15:31:05Z</dcterms:created>
  <dcterms:modified xsi:type="dcterms:W3CDTF">2019-09-09T05:23:47Z</dcterms:modified>
</cp:coreProperties>
</file>